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245" windowWidth="19230" windowHeight="4770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'REC20'!$A$1:$R$91</definedName>
    <definedName name="_xlnm.Print_Area" localSheetId="1">'REC21'!$A$1:$R$76</definedName>
    <definedName name="_xlnm.Print_Area" localSheetId="3">RESUMEN!$A$1:$N$92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5621"/>
</workbook>
</file>

<file path=xl/calcChain.xml><?xml version="1.0" encoding="utf-8"?>
<calcChain xmlns="http://schemas.openxmlformats.org/spreadsheetml/2006/main">
  <c r="J68" i="4" l="1"/>
  <c r="I68" i="4"/>
  <c r="I67" i="4"/>
  <c r="I66" i="4"/>
  <c r="I65" i="4"/>
  <c r="I64" i="4"/>
  <c r="I52" i="4"/>
  <c r="J51" i="4"/>
  <c r="I30" i="4"/>
  <c r="P86" i="4"/>
  <c r="O14" i="6"/>
  <c r="J36" i="7"/>
  <c r="O45" i="4" l="1"/>
  <c r="J71" i="4"/>
  <c r="J68" i="6"/>
  <c r="J71" i="6"/>
  <c r="I65" i="6"/>
  <c r="I63" i="6"/>
  <c r="R50" i="4" l="1"/>
  <c r="Q84" i="4"/>
  <c r="I27" i="7"/>
  <c r="O29" i="4" l="1"/>
  <c r="G51" i="4" l="1"/>
  <c r="I51" i="4"/>
  <c r="K8" i="4"/>
  <c r="J32" i="4" l="1"/>
  <c r="M32" i="4"/>
  <c r="M31" i="4"/>
  <c r="M30" i="4"/>
  <c r="M27" i="4"/>
  <c r="M26" i="4"/>
  <c r="J38" i="4"/>
  <c r="M27" i="7"/>
  <c r="M24" i="7"/>
  <c r="M23" i="7"/>
  <c r="M30" i="7"/>
  <c r="M29" i="7"/>
  <c r="M28" i="7"/>
  <c r="M37" i="7"/>
  <c r="M36" i="7"/>
  <c r="I35" i="7"/>
  <c r="K41" i="5" l="1"/>
  <c r="O62" i="4"/>
  <c r="J35" i="7"/>
  <c r="M35" i="7" s="1"/>
  <c r="J14" i="7"/>
  <c r="R41" i="4"/>
  <c r="Q41" i="4"/>
  <c r="P41" i="4"/>
  <c r="O41" i="4"/>
  <c r="J41" i="5" s="1"/>
  <c r="M41" i="5" s="1"/>
  <c r="M41" i="4"/>
  <c r="G41" i="5" s="1"/>
  <c r="J41" i="4"/>
  <c r="M41" i="6"/>
  <c r="N41" i="5" l="1"/>
  <c r="R86" i="4"/>
  <c r="Q86" i="4"/>
  <c r="J39" i="4"/>
  <c r="M15" i="7"/>
  <c r="J17" i="4"/>
  <c r="M39" i="4" l="1"/>
  <c r="J37" i="4"/>
  <c r="J14" i="4" s="1"/>
  <c r="R44" i="7"/>
  <c r="Q44" i="7"/>
  <c r="P44" i="7"/>
  <c r="O44" i="7"/>
  <c r="O86" i="4" l="1"/>
  <c r="G81" i="5" l="1"/>
  <c r="R85" i="4" l="1"/>
  <c r="Q85" i="4"/>
  <c r="P85" i="4"/>
  <c r="O85" i="4"/>
  <c r="R84" i="4"/>
  <c r="P84" i="4"/>
  <c r="O84" i="4"/>
  <c r="R83" i="4"/>
  <c r="Q83" i="4"/>
  <c r="P83" i="4"/>
  <c r="K83" i="5" s="1"/>
  <c r="O83" i="4"/>
  <c r="J83" i="5" s="1"/>
  <c r="R82" i="4"/>
  <c r="Q82" i="4"/>
  <c r="P82" i="4"/>
  <c r="O82" i="4"/>
  <c r="J82" i="5" s="1"/>
  <c r="M82" i="5" s="1"/>
  <c r="M82" i="4"/>
  <c r="G86" i="4"/>
  <c r="G85" i="4"/>
  <c r="G84" i="4"/>
  <c r="G83" i="4"/>
  <c r="G82" i="4"/>
  <c r="W82" i="4" l="1"/>
  <c r="R81" i="4"/>
  <c r="G81" i="4"/>
  <c r="V82" i="4"/>
  <c r="K82" i="5"/>
  <c r="N82" i="5" s="1"/>
  <c r="Q81" i="4"/>
  <c r="U82" i="4"/>
  <c r="P81" i="4"/>
  <c r="T82" i="4"/>
  <c r="O81" i="4"/>
  <c r="M85" i="6"/>
  <c r="G45" i="7"/>
  <c r="G44" i="7"/>
  <c r="G71" i="6"/>
  <c r="G66" i="6"/>
  <c r="G65" i="6"/>
  <c r="G64" i="6"/>
  <c r="G63" i="6"/>
  <c r="G62" i="6"/>
  <c r="G60" i="6"/>
  <c r="G49" i="6"/>
  <c r="G48" i="6"/>
  <c r="J45" i="4" l="1"/>
  <c r="K38" i="6" l="1"/>
  <c r="R75" i="6" l="1"/>
  <c r="Q75" i="6"/>
  <c r="P75" i="6"/>
  <c r="O75" i="6"/>
  <c r="I26" i="4" l="1"/>
  <c r="J28" i="4"/>
  <c r="M28" i="4"/>
  <c r="M86" i="6" l="1"/>
  <c r="M44" i="6"/>
  <c r="M18" i="6" l="1"/>
  <c r="M17" i="6" l="1"/>
  <c r="G48" i="5" l="1"/>
  <c r="I35" i="4" l="1"/>
  <c r="I73" i="4"/>
  <c r="J72" i="4"/>
  <c r="J49" i="4"/>
  <c r="J31" i="4"/>
  <c r="J30" i="4"/>
  <c r="J18" i="4"/>
  <c r="G49" i="4"/>
  <c r="M21" i="6"/>
  <c r="R18" i="4" l="1"/>
  <c r="Q18" i="4"/>
  <c r="P18" i="4"/>
  <c r="K18" i="5" s="1"/>
  <c r="O18" i="4"/>
  <c r="J18" i="5" s="1"/>
  <c r="Q68" i="4" l="1"/>
  <c r="O68" i="4"/>
  <c r="J68" i="5" s="1"/>
  <c r="P67" i="4"/>
  <c r="K67" i="5" s="1"/>
  <c r="R54" i="7"/>
  <c r="Q66" i="4"/>
  <c r="Q28" i="4"/>
  <c r="P28" i="4"/>
  <c r="K28" i="5" s="1"/>
  <c r="O28" i="4"/>
  <c r="J28" i="5" s="1"/>
  <c r="J86" i="5"/>
  <c r="O71" i="4"/>
  <c r="J71" i="5" s="1"/>
  <c r="R70" i="4"/>
  <c r="R65" i="4"/>
  <c r="R64" i="4"/>
  <c r="Q61" i="4"/>
  <c r="P61" i="4"/>
  <c r="K61" i="5" s="1"/>
  <c r="O61" i="4"/>
  <c r="J61" i="5" s="1"/>
  <c r="R51" i="4"/>
  <c r="P46" i="6"/>
  <c r="P51" i="4"/>
  <c r="K51" i="5" s="1"/>
  <c r="O51" i="4"/>
  <c r="J51" i="5" s="1"/>
  <c r="Q50" i="4"/>
  <c r="R43" i="6"/>
  <c r="Q43" i="6"/>
  <c r="P43" i="6"/>
  <c r="R37" i="6"/>
  <c r="Q31" i="4"/>
  <c r="P31" i="4"/>
  <c r="K31" i="5" s="1"/>
  <c r="R29" i="4"/>
  <c r="Q29" i="4"/>
  <c r="P29" i="4"/>
  <c r="K29" i="5" s="1"/>
  <c r="R24" i="6"/>
  <c r="R14" i="6" s="1"/>
  <c r="P24" i="6"/>
  <c r="Q22" i="4"/>
  <c r="P22" i="4"/>
  <c r="K22" i="5" s="1"/>
  <c r="Q14" i="7"/>
  <c r="L55" i="6"/>
  <c r="K55" i="6"/>
  <c r="J55" i="6"/>
  <c r="I55" i="6"/>
  <c r="R73" i="4"/>
  <c r="R71" i="4"/>
  <c r="Q71" i="4"/>
  <c r="Q65" i="4"/>
  <c r="O64" i="4"/>
  <c r="J64" i="5" s="1"/>
  <c r="R49" i="4"/>
  <c r="Q35" i="7"/>
  <c r="O35" i="7"/>
  <c r="O31" i="4"/>
  <c r="J31" i="5" s="1"/>
  <c r="R30" i="4"/>
  <c r="O30" i="4"/>
  <c r="J30" i="5" s="1"/>
  <c r="R28" i="4"/>
  <c r="R27" i="4"/>
  <c r="P27" i="4"/>
  <c r="K27" i="5" s="1"/>
  <c r="O27" i="4"/>
  <c r="J27" i="5" s="1"/>
  <c r="P26" i="4"/>
  <c r="K26" i="5" s="1"/>
  <c r="O24" i="6"/>
  <c r="P25" i="4"/>
  <c r="K25" i="5" s="1"/>
  <c r="R22" i="4"/>
  <c r="O22" i="4"/>
  <c r="J22" i="5" s="1"/>
  <c r="Q21" i="4"/>
  <c r="O21" i="4"/>
  <c r="J21" i="5" s="1"/>
  <c r="O16" i="6"/>
  <c r="R17" i="4"/>
  <c r="O14" i="7"/>
  <c r="L54" i="7"/>
  <c r="L49" i="7" s="1"/>
  <c r="K54" i="7"/>
  <c r="K49" i="7" s="1"/>
  <c r="J54" i="7"/>
  <c r="J49" i="7" s="1"/>
  <c r="I54" i="7"/>
  <c r="I49" i="7"/>
  <c r="L42" i="7"/>
  <c r="L45" i="4" s="1"/>
  <c r="L44" i="4" s="1"/>
  <c r="K42" i="7"/>
  <c r="K45" i="4" s="1"/>
  <c r="K44" i="4" s="1"/>
  <c r="J42" i="7"/>
  <c r="I42" i="7"/>
  <c r="L35" i="7"/>
  <c r="K35" i="7"/>
  <c r="L32" i="7"/>
  <c r="K32" i="7"/>
  <c r="J32" i="7"/>
  <c r="I32" i="7"/>
  <c r="I32" i="4" s="1"/>
  <c r="L22" i="7"/>
  <c r="K22" i="7"/>
  <c r="J22" i="7"/>
  <c r="I22" i="7"/>
  <c r="M22" i="7" s="1"/>
  <c r="L18" i="7"/>
  <c r="K18" i="7"/>
  <c r="J18" i="7"/>
  <c r="I18" i="7"/>
  <c r="L14" i="7"/>
  <c r="K14" i="7"/>
  <c r="I14" i="7"/>
  <c r="L80" i="6"/>
  <c r="K80" i="6"/>
  <c r="J80" i="6"/>
  <c r="L75" i="6"/>
  <c r="L77" i="4" s="1"/>
  <c r="K75" i="6"/>
  <c r="K77" i="4" s="1"/>
  <c r="J75" i="6"/>
  <c r="L58" i="6"/>
  <c r="L53" i="6" s="1"/>
  <c r="K58" i="6"/>
  <c r="J58" i="6"/>
  <c r="K46" i="6"/>
  <c r="K49" i="4" s="1"/>
  <c r="J46" i="6"/>
  <c r="L43" i="6"/>
  <c r="K43" i="6"/>
  <c r="J43" i="6"/>
  <c r="L37" i="6"/>
  <c r="L39" i="4" s="1"/>
  <c r="K37" i="6"/>
  <c r="L34" i="6"/>
  <c r="K34" i="6"/>
  <c r="J34" i="6"/>
  <c r="L24" i="6"/>
  <c r="L26" i="4" s="1"/>
  <c r="K24" i="6"/>
  <c r="K26" i="4" s="1"/>
  <c r="J24" i="6"/>
  <c r="J14" i="6" s="1"/>
  <c r="L20" i="6"/>
  <c r="L22" i="4" s="1"/>
  <c r="K20" i="6"/>
  <c r="K22" i="4" s="1"/>
  <c r="J20" i="6"/>
  <c r="J22" i="4" s="1"/>
  <c r="L16" i="6"/>
  <c r="K16" i="6"/>
  <c r="K18" i="4" s="1"/>
  <c r="J16" i="6"/>
  <c r="I80" i="6"/>
  <c r="I75" i="6"/>
  <c r="I77" i="4" s="1"/>
  <c r="I58" i="6"/>
  <c r="I46" i="6"/>
  <c r="I43" i="6"/>
  <c r="I37" i="6"/>
  <c r="I34" i="6"/>
  <c r="I24" i="6"/>
  <c r="I16" i="6"/>
  <c r="I18" i="4" s="1"/>
  <c r="L69" i="4"/>
  <c r="K69" i="4"/>
  <c r="J69" i="4"/>
  <c r="I69" i="4"/>
  <c r="L57" i="4"/>
  <c r="L56" i="4" s="1"/>
  <c r="K57" i="4"/>
  <c r="K56" i="4" s="1"/>
  <c r="J57" i="4"/>
  <c r="J56" i="4" s="1"/>
  <c r="I57" i="4"/>
  <c r="I56" i="4" s="1"/>
  <c r="K21" i="4"/>
  <c r="J21" i="4"/>
  <c r="K39" i="4"/>
  <c r="I39" i="4"/>
  <c r="P63" i="4"/>
  <c r="K63" i="5" s="1"/>
  <c r="R55" i="6"/>
  <c r="Q57" i="4"/>
  <c r="Q56" i="4" s="1"/>
  <c r="P57" i="4"/>
  <c r="R32" i="4"/>
  <c r="Q32" i="4"/>
  <c r="P32" i="4"/>
  <c r="K32" i="5" s="1"/>
  <c r="O22" i="7"/>
  <c r="Q27" i="4"/>
  <c r="M84" i="6"/>
  <c r="M83" i="6"/>
  <c r="M82" i="6"/>
  <c r="M78" i="6"/>
  <c r="M76" i="6"/>
  <c r="M73" i="6"/>
  <c r="M72" i="6"/>
  <c r="M71" i="6"/>
  <c r="M69" i="6"/>
  <c r="M68" i="6"/>
  <c r="M67" i="6"/>
  <c r="M61" i="6"/>
  <c r="M51" i="6"/>
  <c r="M50" i="6"/>
  <c r="M38" i="6"/>
  <c r="M35" i="6"/>
  <c r="M32" i="6"/>
  <c r="M31" i="6"/>
  <c r="M30" i="6"/>
  <c r="M29" i="6"/>
  <c r="M28" i="6"/>
  <c r="M27" i="6"/>
  <c r="M26" i="6"/>
  <c r="M25" i="6"/>
  <c r="M22" i="6"/>
  <c r="M85" i="4"/>
  <c r="P73" i="4"/>
  <c r="K73" i="5" s="1"/>
  <c r="O80" i="6"/>
  <c r="P71" i="4"/>
  <c r="Q69" i="4"/>
  <c r="P69" i="4"/>
  <c r="K69" i="5" s="1"/>
  <c r="P64" i="4"/>
  <c r="K64" i="5" s="1"/>
  <c r="G17" i="4"/>
  <c r="I17" i="4"/>
  <c r="K17" i="4"/>
  <c r="L17" i="4"/>
  <c r="G18" i="4"/>
  <c r="G21" i="4"/>
  <c r="L21" i="4"/>
  <c r="G22" i="4"/>
  <c r="G25" i="4"/>
  <c r="I25" i="4"/>
  <c r="J25" i="4"/>
  <c r="K25" i="4"/>
  <c r="L25" i="4"/>
  <c r="G26" i="4"/>
  <c r="O26" i="4"/>
  <c r="J26" i="5" s="1"/>
  <c r="G27" i="4"/>
  <c r="I27" i="4"/>
  <c r="J27" i="4"/>
  <c r="K27" i="4"/>
  <c r="L27" i="4"/>
  <c r="G28" i="4"/>
  <c r="K28" i="4"/>
  <c r="L28" i="4"/>
  <c r="G29" i="4"/>
  <c r="I29" i="4"/>
  <c r="M29" i="4" s="1"/>
  <c r="J29" i="4"/>
  <c r="K29" i="4"/>
  <c r="L29" i="4"/>
  <c r="G30" i="4"/>
  <c r="K30" i="4"/>
  <c r="L30" i="4"/>
  <c r="G31" i="4"/>
  <c r="I31" i="4"/>
  <c r="K31" i="4"/>
  <c r="L31" i="4"/>
  <c r="G32" i="4"/>
  <c r="K32" i="4"/>
  <c r="L32" i="4"/>
  <c r="G35" i="4"/>
  <c r="I34" i="4"/>
  <c r="J35" i="4"/>
  <c r="J34" i="4" s="1"/>
  <c r="K35" i="4"/>
  <c r="K34" i="4" s="1"/>
  <c r="L35" i="4"/>
  <c r="L34" i="4" s="1"/>
  <c r="O35" i="4"/>
  <c r="O34" i="4" s="1"/>
  <c r="P35" i="4"/>
  <c r="P34" i="4" s="1"/>
  <c r="Q35" i="4"/>
  <c r="Q34" i="4" s="1"/>
  <c r="R35" i="4"/>
  <c r="R34" i="4" s="1"/>
  <c r="G38" i="4"/>
  <c r="I38" i="4"/>
  <c r="M38" i="4" s="1"/>
  <c r="K38" i="4"/>
  <c r="L38" i="4"/>
  <c r="G39" i="4"/>
  <c r="O39" i="4"/>
  <c r="J39" i="5" s="1"/>
  <c r="P39" i="4"/>
  <c r="Q39" i="4"/>
  <c r="R39" i="4"/>
  <c r="G45" i="4"/>
  <c r="I45" i="4"/>
  <c r="I44" i="4" s="1"/>
  <c r="I50" i="4"/>
  <c r="J50" i="4"/>
  <c r="K50" i="4"/>
  <c r="L50" i="4"/>
  <c r="K51" i="4"/>
  <c r="G52" i="4"/>
  <c r="K52" i="4"/>
  <c r="L52" i="4"/>
  <c r="O57" i="4"/>
  <c r="K61" i="4"/>
  <c r="G62" i="4"/>
  <c r="M62" i="4" s="1"/>
  <c r="G62" i="5" s="1"/>
  <c r="J62" i="5"/>
  <c r="P62" i="4"/>
  <c r="Q62" i="4"/>
  <c r="R62" i="4"/>
  <c r="I63" i="4"/>
  <c r="J63" i="4"/>
  <c r="K63" i="4"/>
  <c r="L63" i="4"/>
  <c r="J64" i="4"/>
  <c r="K64" i="4"/>
  <c r="L64" i="4"/>
  <c r="J65" i="4"/>
  <c r="K65" i="4"/>
  <c r="L65" i="4"/>
  <c r="J66" i="4"/>
  <c r="K66" i="4"/>
  <c r="L66" i="4"/>
  <c r="O66" i="4"/>
  <c r="J66" i="5" s="1"/>
  <c r="P66" i="4"/>
  <c r="K66" i="5" s="1"/>
  <c r="R66" i="4"/>
  <c r="J67" i="4"/>
  <c r="K67" i="4"/>
  <c r="L67" i="4"/>
  <c r="O67" i="4"/>
  <c r="J67" i="5" s="1"/>
  <c r="Q67" i="4"/>
  <c r="R67" i="4"/>
  <c r="G68" i="4"/>
  <c r="K68" i="4"/>
  <c r="L68" i="4"/>
  <c r="P68" i="4"/>
  <c r="K68" i="5" s="1"/>
  <c r="R68" i="4"/>
  <c r="G69" i="4"/>
  <c r="O69" i="4"/>
  <c r="J69" i="5" s="1"/>
  <c r="R69" i="4"/>
  <c r="G70" i="4"/>
  <c r="I70" i="4"/>
  <c r="K70" i="4"/>
  <c r="L70" i="4"/>
  <c r="O70" i="4"/>
  <c r="J70" i="5" s="1"/>
  <c r="P70" i="4"/>
  <c r="K70" i="5" s="1"/>
  <c r="Q70" i="4"/>
  <c r="G71" i="4"/>
  <c r="I71" i="4"/>
  <c r="K71" i="4"/>
  <c r="L71" i="4"/>
  <c r="G72" i="4"/>
  <c r="I72" i="4"/>
  <c r="K72" i="4"/>
  <c r="L72" i="4"/>
  <c r="O72" i="4"/>
  <c r="J72" i="5" s="1"/>
  <c r="P72" i="4"/>
  <c r="K72" i="5" s="1"/>
  <c r="Q72" i="4"/>
  <c r="R72" i="4"/>
  <c r="G73" i="4"/>
  <c r="K73" i="4"/>
  <c r="L73" i="4"/>
  <c r="Q73" i="4"/>
  <c r="G76" i="4"/>
  <c r="I76" i="4"/>
  <c r="J76" i="4"/>
  <c r="K76" i="4"/>
  <c r="L76" i="4"/>
  <c r="O76" i="4"/>
  <c r="J76" i="5" s="1"/>
  <c r="P76" i="4"/>
  <c r="K76" i="5" s="1"/>
  <c r="Q76" i="4"/>
  <c r="R76" i="4"/>
  <c r="J77" i="4"/>
  <c r="U77" i="4"/>
  <c r="V77" i="4"/>
  <c r="W77" i="4"/>
  <c r="G78" i="4"/>
  <c r="I78" i="4"/>
  <c r="J78" i="4"/>
  <c r="K78" i="4"/>
  <c r="L78" i="4"/>
  <c r="J78" i="5"/>
  <c r="P78" i="4"/>
  <c r="Q78" i="4"/>
  <c r="R78" i="4"/>
  <c r="I83" i="4"/>
  <c r="J83" i="4"/>
  <c r="K83" i="4"/>
  <c r="L83" i="4"/>
  <c r="I84" i="4"/>
  <c r="J84" i="4"/>
  <c r="K84" i="4"/>
  <c r="L84" i="4"/>
  <c r="J84" i="5"/>
  <c r="K84" i="5"/>
  <c r="K85" i="5"/>
  <c r="I86" i="4"/>
  <c r="J86" i="4"/>
  <c r="K86" i="4"/>
  <c r="L86" i="4"/>
  <c r="G14" i="7"/>
  <c r="P14" i="7"/>
  <c r="R14" i="7"/>
  <c r="P17" i="4"/>
  <c r="K17" i="5" s="1"/>
  <c r="M16" i="7"/>
  <c r="G18" i="7"/>
  <c r="M19" i="7"/>
  <c r="M20" i="7"/>
  <c r="G22" i="7"/>
  <c r="R25" i="4"/>
  <c r="M25" i="7"/>
  <c r="M26" i="7"/>
  <c r="P30" i="4"/>
  <c r="K30" i="5" s="1"/>
  <c r="Q30" i="4"/>
  <c r="R31" i="4"/>
  <c r="G32" i="7"/>
  <c r="O32" i="7"/>
  <c r="P32" i="7"/>
  <c r="Q32" i="7"/>
  <c r="R32" i="7"/>
  <c r="M33" i="7"/>
  <c r="G35" i="7"/>
  <c r="R35" i="7"/>
  <c r="G39" i="7"/>
  <c r="M39" i="7"/>
  <c r="O39" i="7"/>
  <c r="P39" i="7"/>
  <c r="Q39" i="7"/>
  <c r="R39" i="7"/>
  <c r="M40" i="7"/>
  <c r="M44" i="7"/>
  <c r="O49" i="4"/>
  <c r="J49" i="5" s="1"/>
  <c r="P49" i="4"/>
  <c r="K49" i="5" s="1"/>
  <c r="M45" i="7"/>
  <c r="O50" i="4"/>
  <c r="J50" i="5" s="1"/>
  <c r="P50" i="4"/>
  <c r="K50" i="5" s="1"/>
  <c r="M46" i="7"/>
  <c r="M47" i="7"/>
  <c r="O52" i="4"/>
  <c r="J52" i="5" s="1"/>
  <c r="P52" i="4"/>
  <c r="K52" i="5" s="1"/>
  <c r="Q42" i="7"/>
  <c r="R52" i="4"/>
  <c r="G51" i="7"/>
  <c r="O51" i="7"/>
  <c r="P51" i="7"/>
  <c r="Q51" i="7"/>
  <c r="R51" i="7"/>
  <c r="M52" i="7"/>
  <c r="M56" i="7"/>
  <c r="M57" i="7"/>
  <c r="O63" i="4"/>
  <c r="M59" i="7"/>
  <c r="M60" i="7"/>
  <c r="M61" i="7"/>
  <c r="M62" i="7"/>
  <c r="M63" i="7"/>
  <c r="M64" i="7"/>
  <c r="M65" i="7"/>
  <c r="M66" i="7"/>
  <c r="M67" i="7"/>
  <c r="M68" i="7"/>
  <c r="M69" i="7"/>
  <c r="G16" i="6"/>
  <c r="P16" i="6"/>
  <c r="Q16" i="6"/>
  <c r="R16" i="6"/>
  <c r="G20" i="6"/>
  <c r="O20" i="6"/>
  <c r="P20" i="6"/>
  <c r="Q20" i="6"/>
  <c r="R20" i="6"/>
  <c r="G24" i="6"/>
  <c r="G34" i="6"/>
  <c r="O34" i="6"/>
  <c r="P34" i="6"/>
  <c r="Q34" i="6"/>
  <c r="R34" i="6"/>
  <c r="G37" i="6"/>
  <c r="O37" i="6"/>
  <c r="P37" i="6"/>
  <c r="G43" i="6"/>
  <c r="O43" i="6"/>
  <c r="O46" i="6"/>
  <c r="G46" i="6"/>
  <c r="M49" i="6"/>
  <c r="O55" i="6"/>
  <c r="Q55" i="6"/>
  <c r="M60" i="6"/>
  <c r="M62" i="6"/>
  <c r="P65" i="4"/>
  <c r="K65" i="5" s="1"/>
  <c r="G66" i="4"/>
  <c r="M70" i="6"/>
  <c r="O73" i="4"/>
  <c r="J73" i="5" s="1"/>
  <c r="G75" i="6"/>
  <c r="G80" i="6"/>
  <c r="Q80" i="6"/>
  <c r="J44" i="4"/>
  <c r="R42" i="7"/>
  <c r="P21" i="4"/>
  <c r="K21" i="5" s="1"/>
  <c r="R80" i="6"/>
  <c r="R61" i="4"/>
  <c r="P45" i="4"/>
  <c r="P38" i="4"/>
  <c r="K38" i="5" s="1"/>
  <c r="P35" i="7"/>
  <c r="O38" i="4"/>
  <c r="J38" i="5" s="1"/>
  <c r="Q25" i="4"/>
  <c r="R45" i="4"/>
  <c r="R44" i="4" s="1"/>
  <c r="Q64" i="4"/>
  <c r="R26" i="4"/>
  <c r="O25" i="4"/>
  <c r="P18" i="7"/>
  <c r="O17" i="4"/>
  <c r="O12" i="6" l="1"/>
  <c r="J12" i="7"/>
  <c r="I53" i="6"/>
  <c r="K53" i="6"/>
  <c r="M43" i="6"/>
  <c r="G14" i="6"/>
  <c r="P14" i="6"/>
  <c r="P12" i="6" s="1"/>
  <c r="J75" i="4"/>
  <c r="G37" i="4"/>
  <c r="L37" i="4"/>
  <c r="N85" i="5"/>
  <c r="U35" i="4"/>
  <c r="I75" i="4"/>
  <c r="M45" i="4"/>
  <c r="G45" i="5" s="1"/>
  <c r="W61" i="4"/>
  <c r="I16" i="4"/>
  <c r="M66" i="4"/>
  <c r="G66" i="5" s="1"/>
  <c r="M66" i="5" s="1"/>
  <c r="U34" i="4"/>
  <c r="M76" i="4"/>
  <c r="G76" i="5" s="1"/>
  <c r="M76" i="5" s="1"/>
  <c r="G75" i="4"/>
  <c r="G20" i="4"/>
  <c r="M62" i="5"/>
  <c r="V62" i="4"/>
  <c r="K62" i="5"/>
  <c r="N62" i="5" s="1"/>
  <c r="O56" i="4"/>
  <c r="J56" i="5" s="1"/>
  <c r="J57" i="5"/>
  <c r="P56" i="4"/>
  <c r="K56" i="5" s="1"/>
  <c r="K57" i="5"/>
  <c r="M70" i="4"/>
  <c r="G70" i="5" s="1"/>
  <c r="N70" i="5" s="1"/>
  <c r="G24" i="4"/>
  <c r="G16" i="4"/>
  <c r="G14" i="4" s="1"/>
  <c r="U76" i="4"/>
  <c r="M80" i="6"/>
  <c r="R49" i="7"/>
  <c r="L81" i="4"/>
  <c r="T85" i="4"/>
  <c r="J85" i="5"/>
  <c r="M85" i="5" s="1"/>
  <c r="U39" i="4"/>
  <c r="K39" i="5"/>
  <c r="M16" i="6"/>
  <c r="W67" i="4"/>
  <c r="W78" i="4"/>
  <c r="P75" i="4"/>
  <c r="K75" i="5" s="1"/>
  <c r="K78" i="5"/>
  <c r="W73" i="4"/>
  <c r="U71" i="4"/>
  <c r="K71" i="5"/>
  <c r="U63" i="4"/>
  <c r="J63" i="5"/>
  <c r="P44" i="4"/>
  <c r="K44" i="5" s="1"/>
  <c r="K45" i="5"/>
  <c r="O44" i="4"/>
  <c r="J44" i="5" s="1"/>
  <c r="J45" i="5"/>
  <c r="U29" i="4"/>
  <c r="J29" i="5"/>
  <c r="U25" i="4"/>
  <c r="J25" i="5"/>
  <c r="O16" i="4"/>
  <c r="J16" i="5" s="1"/>
  <c r="J17" i="5"/>
  <c r="V72" i="4"/>
  <c r="U72" i="4"/>
  <c r="U22" i="4"/>
  <c r="J10" i="7"/>
  <c r="J8" i="7" s="1"/>
  <c r="M83" i="4"/>
  <c r="M83" i="5" s="1"/>
  <c r="M77" i="4"/>
  <c r="T77" i="4" s="1"/>
  <c r="P42" i="7"/>
  <c r="P55" i="6"/>
  <c r="M18" i="7"/>
  <c r="M25" i="4"/>
  <c r="M34" i="6"/>
  <c r="U30" i="4"/>
  <c r="M32" i="7"/>
  <c r="U69" i="4"/>
  <c r="V71" i="4"/>
  <c r="V84" i="4"/>
  <c r="Q75" i="4"/>
  <c r="K14" i="6"/>
  <c r="K12" i="6" s="1"/>
  <c r="W65" i="4"/>
  <c r="Q52" i="4"/>
  <c r="V52" i="4" s="1"/>
  <c r="W31" i="4"/>
  <c r="U73" i="4"/>
  <c r="L20" i="4"/>
  <c r="M63" i="6"/>
  <c r="K37" i="4"/>
  <c r="V21" i="4"/>
  <c r="U68" i="4"/>
  <c r="G57" i="4"/>
  <c r="G56" i="4" s="1"/>
  <c r="M56" i="4" s="1"/>
  <c r="U78" i="4"/>
  <c r="M68" i="4"/>
  <c r="K47" i="4"/>
  <c r="W83" i="4"/>
  <c r="W72" i="4"/>
  <c r="W66" i="4"/>
  <c r="U64" i="4"/>
  <c r="R47" i="4"/>
  <c r="O37" i="4"/>
  <c r="J37" i="5" s="1"/>
  <c r="U28" i="4"/>
  <c r="W27" i="4"/>
  <c r="W25" i="4"/>
  <c r="J47" i="4"/>
  <c r="J16" i="4"/>
  <c r="U62" i="4"/>
  <c r="T62" i="4"/>
  <c r="P16" i="4"/>
  <c r="K16" i="5" s="1"/>
  <c r="U18" i="4"/>
  <c r="R46" i="6"/>
  <c r="P37" i="4"/>
  <c r="K37" i="5" s="1"/>
  <c r="G50" i="4"/>
  <c r="M50" i="4" s="1"/>
  <c r="V76" i="4"/>
  <c r="I81" i="4"/>
  <c r="I59" i="4"/>
  <c r="I54" i="4" s="1"/>
  <c r="M71" i="4"/>
  <c r="W62" i="4"/>
  <c r="I37" i="4"/>
  <c r="M37" i="4" s="1"/>
  <c r="G32" i="5"/>
  <c r="N32" i="5" s="1"/>
  <c r="P54" i="7"/>
  <c r="P49" i="7" s="1"/>
  <c r="G42" i="7"/>
  <c r="M42" i="7" s="1"/>
  <c r="W84" i="4"/>
  <c r="R57" i="4"/>
  <c r="R56" i="4" s="1"/>
  <c r="W56" i="4" s="1"/>
  <c r="J59" i="4"/>
  <c r="J54" i="4" s="1"/>
  <c r="P22" i="7"/>
  <c r="P12" i="7" s="1"/>
  <c r="Q22" i="7"/>
  <c r="K16" i="4"/>
  <c r="G44" i="4"/>
  <c r="M44" i="4" s="1"/>
  <c r="G44" i="5" s="1"/>
  <c r="G64" i="4"/>
  <c r="M64" i="4" s="1"/>
  <c r="W34" i="4"/>
  <c r="M69" i="4"/>
  <c r="I47" i="4"/>
  <c r="L14" i="6"/>
  <c r="R24" i="4"/>
  <c r="U52" i="4"/>
  <c r="J20" i="4"/>
  <c r="I12" i="7"/>
  <c r="I10" i="7" s="1"/>
  <c r="I8" i="7" s="1"/>
  <c r="L12" i="7"/>
  <c r="L10" i="7" s="1"/>
  <c r="L8" i="7" s="1"/>
  <c r="I24" i="4"/>
  <c r="M75" i="6"/>
  <c r="U70" i="4"/>
  <c r="I20" i="6"/>
  <c r="I14" i="6" s="1"/>
  <c r="I12" i="6" s="1"/>
  <c r="V66" i="4"/>
  <c r="K12" i="7"/>
  <c r="K10" i="7" s="1"/>
  <c r="K8" i="7" s="1"/>
  <c r="U51" i="4"/>
  <c r="I21" i="4"/>
  <c r="I20" i="4" s="1"/>
  <c r="M22" i="4"/>
  <c r="M24" i="6"/>
  <c r="V78" i="4"/>
  <c r="V57" i="4"/>
  <c r="M14" i="7"/>
  <c r="U85" i="4"/>
  <c r="U21" i="4"/>
  <c r="J37" i="6"/>
  <c r="J12" i="6" s="1"/>
  <c r="W86" i="4"/>
  <c r="V73" i="4"/>
  <c r="W71" i="4"/>
  <c r="V69" i="4"/>
  <c r="V67" i="4"/>
  <c r="V61" i="4"/>
  <c r="W50" i="4"/>
  <c r="U50" i="4"/>
  <c r="U49" i="4"/>
  <c r="U45" i="4"/>
  <c r="T45" i="4"/>
  <c r="W32" i="4"/>
  <c r="W29" i="4"/>
  <c r="V29" i="4"/>
  <c r="W28" i="4"/>
  <c r="V28" i="4"/>
  <c r="V27" i="4"/>
  <c r="U27" i="4"/>
  <c r="W22" i="4"/>
  <c r="R16" i="4"/>
  <c r="O58" i="6"/>
  <c r="O53" i="6" s="1"/>
  <c r="O65" i="4"/>
  <c r="J65" i="5" s="1"/>
  <c r="V85" i="4"/>
  <c r="V70" i="4"/>
  <c r="W70" i="4"/>
  <c r="M52" i="4"/>
  <c r="V35" i="4"/>
  <c r="K24" i="4"/>
  <c r="J53" i="6"/>
  <c r="Q45" i="4"/>
  <c r="Q44" i="4" s="1"/>
  <c r="W44" i="4" s="1"/>
  <c r="G12" i="7"/>
  <c r="U61" i="4"/>
  <c r="O75" i="4"/>
  <c r="M72" i="4"/>
  <c r="U66" i="4"/>
  <c r="K59" i="4"/>
  <c r="K54" i="4" s="1"/>
  <c r="V34" i="4"/>
  <c r="J24" i="4"/>
  <c r="K20" i="4"/>
  <c r="W64" i="4"/>
  <c r="G54" i="7"/>
  <c r="M54" i="7" s="1"/>
  <c r="M73" i="4"/>
  <c r="V18" i="4"/>
  <c r="J81" i="4"/>
  <c r="M84" i="4"/>
  <c r="K81" i="4"/>
  <c r="M78" i="4"/>
  <c r="L75" i="4"/>
  <c r="M35" i="4"/>
  <c r="G34" i="4"/>
  <c r="M34" i="4" s="1"/>
  <c r="T34" i="4" s="1"/>
  <c r="L18" i="4"/>
  <c r="L16" i="4" s="1"/>
  <c r="V22" i="4"/>
  <c r="P20" i="4"/>
  <c r="Q54" i="7"/>
  <c r="Q49" i="7" s="1"/>
  <c r="Q63" i="4"/>
  <c r="Q59" i="4" s="1"/>
  <c r="Q54" i="4" s="1"/>
  <c r="V83" i="4"/>
  <c r="Q24" i="6"/>
  <c r="Q26" i="4"/>
  <c r="W26" i="4" s="1"/>
  <c r="Q37" i="6"/>
  <c r="Q38" i="4"/>
  <c r="V38" i="4" s="1"/>
  <c r="Q46" i="6"/>
  <c r="Q51" i="4"/>
  <c r="W51" i="4" s="1"/>
  <c r="P80" i="6"/>
  <c r="Q20" i="4"/>
  <c r="P47" i="4"/>
  <c r="K47" i="5" s="1"/>
  <c r="M65" i="6"/>
  <c r="W30" i="4"/>
  <c r="V30" i="4"/>
  <c r="U84" i="4"/>
  <c r="K75" i="4"/>
  <c r="V32" i="4"/>
  <c r="R63" i="4"/>
  <c r="R59" i="4" s="1"/>
  <c r="V68" i="4"/>
  <c r="W35" i="4"/>
  <c r="M56" i="6"/>
  <c r="G55" i="6"/>
  <c r="O42" i="7"/>
  <c r="R75" i="4"/>
  <c r="W76" i="4"/>
  <c r="W68" i="4"/>
  <c r="W39" i="4"/>
  <c r="W69" i="4"/>
  <c r="Q18" i="7"/>
  <c r="G67" i="4"/>
  <c r="M67" i="4" s="1"/>
  <c r="M66" i="6"/>
  <c r="W18" i="4"/>
  <c r="V64" i="4"/>
  <c r="U26" i="4"/>
  <c r="G63" i="4"/>
  <c r="M63" i="4" s="1"/>
  <c r="M58" i="7"/>
  <c r="M86" i="4"/>
  <c r="U83" i="4"/>
  <c r="U17" i="4"/>
  <c r="V25" i="4"/>
  <c r="U57" i="4"/>
  <c r="M17" i="4"/>
  <c r="G65" i="4"/>
  <c r="M65" i="4" s="1"/>
  <c r="G65" i="5" s="1"/>
  <c r="N65" i="5" s="1"/>
  <c r="G58" i="6"/>
  <c r="M58" i="6" s="1"/>
  <c r="M64" i="6"/>
  <c r="M51" i="7"/>
  <c r="W85" i="4"/>
  <c r="L24" i="4"/>
  <c r="R21" i="4"/>
  <c r="R20" i="4" s="1"/>
  <c r="R18" i="7"/>
  <c r="R58" i="6"/>
  <c r="R53" i="6" s="1"/>
  <c r="L61" i="4"/>
  <c r="L59" i="4" s="1"/>
  <c r="L54" i="4" s="1"/>
  <c r="Q17" i="4"/>
  <c r="O32" i="4"/>
  <c r="O20" i="4"/>
  <c r="J20" i="5" s="1"/>
  <c r="R22" i="7"/>
  <c r="M39" i="6"/>
  <c r="R38" i="4"/>
  <c r="R37" i="4" s="1"/>
  <c r="O54" i="7"/>
  <c r="O49" i="7" s="1"/>
  <c r="G61" i="4"/>
  <c r="Q49" i="4"/>
  <c r="O18" i="7"/>
  <c r="O12" i="7" s="1"/>
  <c r="U67" i="4"/>
  <c r="P58" i="6"/>
  <c r="P53" i="6" s="1"/>
  <c r="P59" i="4"/>
  <c r="Q58" i="6"/>
  <c r="V65" i="4"/>
  <c r="V50" i="4"/>
  <c r="O47" i="4"/>
  <c r="J47" i="5" s="1"/>
  <c r="V39" i="4"/>
  <c r="U38" i="4"/>
  <c r="V31" i="4"/>
  <c r="P24" i="4"/>
  <c r="U31" i="4"/>
  <c r="Q14" i="6" l="1"/>
  <c r="Q12" i="6" s="1"/>
  <c r="I10" i="6"/>
  <c r="I8" i="6" s="1"/>
  <c r="J12" i="4"/>
  <c r="J10" i="4" s="1"/>
  <c r="J8" i="4" s="1"/>
  <c r="O10" i="6"/>
  <c r="O8" i="6" s="1"/>
  <c r="K10" i="6"/>
  <c r="K8" i="6" s="1"/>
  <c r="M14" i="6"/>
  <c r="R14" i="4"/>
  <c r="R12" i="4" s="1"/>
  <c r="K24" i="5"/>
  <c r="P14" i="4"/>
  <c r="R54" i="4"/>
  <c r="M45" i="5"/>
  <c r="J81" i="5"/>
  <c r="O10" i="7"/>
  <c r="O8" i="7" s="1"/>
  <c r="P10" i="7"/>
  <c r="P8" i="7" s="1"/>
  <c r="T37" i="4"/>
  <c r="N66" i="5"/>
  <c r="T66" i="4"/>
  <c r="T76" i="4"/>
  <c r="U56" i="4"/>
  <c r="N45" i="5"/>
  <c r="M75" i="4"/>
  <c r="G75" i="5" s="1"/>
  <c r="N75" i="5" s="1"/>
  <c r="V56" i="4"/>
  <c r="N76" i="5"/>
  <c r="T83" i="4"/>
  <c r="T70" i="4"/>
  <c r="M70" i="5"/>
  <c r="G49" i="7"/>
  <c r="M49" i="7" s="1"/>
  <c r="W57" i="4"/>
  <c r="M21" i="4"/>
  <c r="T21" i="4" s="1"/>
  <c r="I14" i="4"/>
  <c r="T84" i="4"/>
  <c r="N83" i="5"/>
  <c r="T78" i="4"/>
  <c r="G78" i="5"/>
  <c r="M78" i="5" s="1"/>
  <c r="T73" i="4"/>
  <c r="G73" i="5"/>
  <c r="T72" i="4"/>
  <c r="G72" i="5"/>
  <c r="T71" i="4"/>
  <c r="G71" i="5"/>
  <c r="M71" i="5" s="1"/>
  <c r="T69" i="4"/>
  <c r="G69" i="5"/>
  <c r="T68" i="4"/>
  <c r="G68" i="5"/>
  <c r="T67" i="4"/>
  <c r="G67" i="5"/>
  <c r="M65" i="5"/>
  <c r="T64" i="4"/>
  <c r="G64" i="5"/>
  <c r="T63" i="4"/>
  <c r="G63" i="5"/>
  <c r="N63" i="5" s="1"/>
  <c r="T56" i="4"/>
  <c r="G56" i="5"/>
  <c r="M56" i="5" s="1"/>
  <c r="T50" i="4"/>
  <c r="G50" i="5"/>
  <c r="T38" i="4"/>
  <c r="G38" i="5"/>
  <c r="T35" i="4"/>
  <c r="G35" i="5"/>
  <c r="T29" i="4"/>
  <c r="G29" i="5"/>
  <c r="N29" i="5" s="1"/>
  <c r="T27" i="4"/>
  <c r="G27" i="5"/>
  <c r="T25" i="4"/>
  <c r="G25" i="5"/>
  <c r="N25" i="5" s="1"/>
  <c r="T22" i="4"/>
  <c r="G22" i="5"/>
  <c r="T17" i="4"/>
  <c r="G17" i="5"/>
  <c r="N17" i="5" s="1"/>
  <c r="T52" i="4"/>
  <c r="G52" i="5"/>
  <c r="V75" i="4"/>
  <c r="T65" i="4"/>
  <c r="U65" i="4"/>
  <c r="O59" i="4"/>
  <c r="J59" i="5" s="1"/>
  <c r="T28" i="4"/>
  <c r="G28" i="5"/>
  <c r="M44" i="5"/>
  <c r="N44" i="5"/>
  <c r="T86" i="4"/>
  <c r="M86" i="5"/>
  <c r="Q53" i="6"/>
  <c r="U44" i="4"/>
  <c r="T39" i="4"/>
  <c r="G39" i="5"/>
  <c r="T31" i="4"/>
  <c r="G31" i="5"/>
  <c r="M24" i="4"/>
  <c r="G24" i="5" s="1"/>
  <c r="T30" i="4"/>
  <c r="G30" i="5"/>
  <c r="T26" i="4"/>
  <c r="G26" i="5"/>
  <c r="V86" i="4"/>
  <c r="K86" i="5"/>
  <c r="K81" i="5" s="1"/>
  <c r="W81" i="4"/>
  <c r="U75" i="4"/>
  <c r="J75" i="5"/>
  <c r="P54" i="4"/>
  <c r="K54" i="5" s="1"/>
  <c r="K59" i="5"/>
  <c r="W52" i="4"/>
  <c r="T44" i="4"/>
  <c r="O24" i="4"/>
  <c r="J32" i="5"/>
  <c r="M32" i="5" s="1"/>
  <c r="U20" i="4"/>
  <c r="K20" i="5"/>
  <c r="U16" i="4"/>
  <c r="R12" i="6"/>
  <c r="R10" i="6" s="1"/>
  <c r="R8" i="6" s="1"/>
  <c r="V26" i="4"/>
  <c r="J10" i="6"/>
  <c r="J8" i="6" s="1"/>
  <c r="U32" i="4"/>
  <c r="W75" i="4"/>
  <c r="T32" i="4"/>
  <c r="M57" i="4"/>
  <c r="M20" i="4"/>
  <c r="U37" i="4"/>
  <c r="M16" i="4"/>
  <c r="K14" i="4"/>
  <c r="K12" i="4" s="1"/>
  <c r="K10" i="4" s="1"/>
  <c r="Q12" i="7"/>
  <c r="Q10" i="7" s="1"/>
  <c r="Q8" i="7" s="1"/>
  <c r="M20" i="6"/>
  <c r="M37" i="6"/>
  <c r="U86" i="4"/>
  <c r="V44" i="4"/>
  <c r="V59" i="4"/>
  <c r="W59" i="4"/>
  <c r="M12" i="7"/>
  <c r="G10" i="7"/>
  <c r="V45" i="4"/>
  <c r="V51" i="4"/>
  <c r="W45" i="4"/>
  <c r="Q47" i="4"/>
  <c r="W47" i="4" s="1"/>
  <c r="V49" i="4"/>
  <c r="W49" i="4"/>
  <c r="G12" i="6"/>
  <c r="G47" i="4"/>
  <c r="L14" i="4"/>
  <c r="Q24" i="4"/>
  <c r="W17" i="4"/>
  <c r="V17" i="4"/>
  <c r="Q16" i="4"/>
  <c r="M18" i="4"/>
  <c r="M55" i="6"/>
  <c r="G53" i="6"/>
  <c r="M53" i="6" s="1"/>
  <c r="M61" i="4"/>
  <c r="G59" i="4"/>
  <c r="V63" i="4"/>
  <c r="W63" i="4"/>
  <c r="V20" i="4"/>
  <c r="W20" i="4"/>
  <c r="M81" i="4"/>
  <c r="W21" i="4"/>
  <c r="Q37" i="4"/>
  <c r="W38" i="4"/>
  <c r="R12" i="7"/>
  <c r="R10" i="7" s="1"/>
  <c r="R8" i="7" s="1"/>
  <c r="P10" i="6"/>
  <c r="P8" i="6" s="1"/>
  <c r="U47" i="4"/>
  <c r="I12" i="4" l="1"/>
  <c r="I10" i="4" s="1"/>
  <c r="I8" i="4" s="1"/>
  <c r="M14" i="4"/>
  <c r="N24" i="5"/>
  <c r="W24" i="4"/>
  <c r="Q14" i="4"/>
  <c r="J24" i="5"/>
  <c r="M24" i="5" s="1"/>
  <c r="O14" i="4"/>
  <c r="J14" i="5" s="1"/>
  <c r="M25" i="5"/>
  <c r="G21" i="5"/>
  <c r="M21" i="5" s="1"/>
  <c r="M75" i="5"/>
  <c r="T75" i="4"/>
  <c r="N78" i="5"/>
  <c r="N56" i="5"/>
  <c r="M29" i="5"/>
  <c r="M84" i="5"/>
  <c r="M81" i="5" s="1"/>
  <c r="N84" i="5"/>
  <c r="N73" i="5"/>
  <c r="M73" i="5"/>
  <c r="M72" i="5"/>
  <c r="N72" i="5"/>
  <c r="N71" i="5"/>
  <c r="N69" i="5"/>
  <c r="M69" i="5"/>
  <c r="M68" i="5"/>
  <c r="N68" i="5"/>
  <c r="M67" i="5"/>
  <c r="N67" i="5"/>
  <c r="M64" i="5"/>
  <c r="N64" i="5"/>
  <c r="M63" i="5"/>
  <c r="T61" i="4"/>
  <c r="G61" i="5"/>
  <c r="T57" i="4"/>
  <c r="G57" i="5"/>
  <c r="M50" i="5"/>
  <c r="N50" i="5"/>
  <c r="M38" i="5"/>
  <c r="N38" i="5"/>
  <c r="M35" i="5"/>
  <c r="G34" i="5"/>
  <c r="M34" i="5" s="1"/>
  <c r="M27" i="5"/>
  <c r="N27" i="5"/>
  <c r="N22" i="5"/>
  <c r="M22" i="5"/>
  <c r="T20" i="4"/>
  <c r="G20" i="5"/>
  <c r="M20" i="5" s="1"/>
  <c r="M17" i="5"/>
  <c r="N52" i="5"/>
  <c r="M52" i="5"/>
  <c r="V81" i="4"/>
  <c r="U59" i="4"/>
  <c r="O54" i="4"/>
  <c r="U54" i="4" s="1"/>
  <c r="Q10" i="6"/>
  <c r="Q8" i="6" s="1"/>
  <c r="N28" i="5"/>
  <c r="M28" i="5"/>
  <c r="T81" i="4"/>
  <c r="N86" i="5"/>
  <c r="M39" i="5"/>
  <c r="G37" i="5"/>
  <c r="M31" i="5"/>
  <c r="N31" i="5"/>
  <c r="M30" i="5"/>
  <c r="N30" i="5"/>
  <c r="M26" i="5"/>
  <c r="N26" i="5"/>
  <c r="U24" i="4"/>
  <c r="T18" i="4"/>
  <c r="G18" i="5"/>
  <c r="T16" i="4"/>
  <c r="G16" i="5"/>
  <c r="T24" i="4"/>
  <c r="P12" i="4"/>
  <c r="P10" i="4" s="1"/>
  <c r="P8" i="4" s="1"/>
  <c r="K14" i="5"/>
  <c r="W54" i="4"/>
  <c r="V47" i="4"/>
  <c r="U81" i="4"/>
  <c r="V54" i="4"/>
  <c r="V24" i="4"/>
  <c r="W16" i="4"/>
  <c r="V16" i="4"/>
  <c r="M59" i="4"/>
  <c r="G54" i="4"/>
  <c r="M54" i="4" s="1"/>
  <c r="G54" i="5" s="1"/>
  <c r="N54" i="5" s="1"/>
  <c r="G12" i="4"/>
  <c r="G10" i="6"/>
  <c r="V37" i="4"/>
  <c r="W37" i="4"/>
  <c r="G8" i="7"/>
  <c r="M8" i="7" s="1"/>
  <c r="M10" i="7"/>
  <c r="R10" i="4"/>
  <c r="K7" i="4" l="1"/>
  <c r="J4" i="4"/>
  <c r="N21" i="5"/>
  <c r="N20" i="5"/>
  <c r="G10" i="4"/>
  <c r="T59" i="4"/>
  <c r="G59" i="5"/>
  <c r="M61" i="5"/>
  <c r="N61" i="5"/>
  <c r="M57" i="5"/>
  <c r="N57" i="5"/>
  <c r="J54" i="5"/>
  <c r="M54" i="5" s="1"/>
  <c r="T54" i="4"/>
  <c r="N81" i="5"/>
  <c r="N37" i="5"/>
  <c r="M37" i="5"/>
  <c r="T14" i="4"/>
  <c r="G14" i="5"/>
  <c r="M14" i="5" s="1"/>
  <c r="N16" i="5"/>
  <c r="M16" i="5"/>
  <c r="M18" i="5"/>
  <c r="N18" i="5"/>
  <c r="U14" i="4"/>
  <c r="O12" i="4"/>
  <c r="K12" i="5"/>
  <c r="Q12" i="4"/>
  <c r="V14" i="4"/>
  <c r="W14" i="4"/>
  <c r="G8" i="6"/>
  <c r="R8" i="4"/>
  <c r="J12" i="5" l="1"/>
  <c r="O10" i="4"/>
  <c r="O8" i="4" s="1"/>
  <c r="N59" i="5"/>
  <c r="M59" i="5"/>
  <c r="N14" i="5"/>
  <c r="U12" i="4"/>
  <c r="K10" i="5"/>
  <c r="Q10" i="4"/>
  <c r="V12" i="4"/>
  <c r="W12" i="4"/>
  <c r="G8" i="4"/>
  <c r="K8" i="5" l="1"/>
  <c r="J10" i="5"/>
  <c r="U10" i="4"/>
  <c r="Q8" i="4"/>
  <c r="V10" i="4"/>
  <c r="W10" i="4"/>
  <c r="J8" i="5" l="1"/>
  <c r="U8" i="4"/>
  <c r="V8" i="4"/>
  <c r="W8" i="4"/>
  <c r="L51" i="4" l="1"/>
  <c r="M51" i="4"/>
  <c r="M48" i="6"/>
  <c r="L46" i="6"/>
  <c r="M46" i="6" s="1"/>
  <c r="L49" i="4"/>
  <c r="L47" i="4" l="1"/>
  <c r="L12" i="4" s="1"/>
  <c r="M49" i="4"/>
  <c r="T49" i="4" s="1"/>
  <c r="T51" i="4"/>
  <c r="G51" i="5"/>
  <c r="L12" i="6"/>
  <c r="M47" i="4" l="1"/>
  <c r="T47" i="4" s="1"/>
  <c r="G49" i="5"/>
  <c r="M49" i="5" s="1"/>
  <c r="N51" i="5"/>
  <c r="M51" i="5"/>
  <c r="M12" i="6"/>
  <c r="L10" i="6"/>
  <c r="L10" i="4"/>
  <c r="M12" i="4"/>
  <c r="G47" i="5" l="1"/>
  <c r="M47" i="5" s="1"/>
  <c r="N49" i="5"/>
  <c r="N47" i="5"/>
  <c r="M10" i="4"/>
  <c r="G10" i="5" s="1"/>
  <c r="N10" i="5" s="1"/>
  <c r="L8" i="4"/>
  <c r="T12" i="4"/>
  <c r="G12" i="5"/>
  <c r="M10" i="6"/>
  <c r="L8" i="6"/>
  <c r="M8" i="6" s="1"/>
  <c r="M10" i="5" l="1"/>
  <c r="M8" i="4"/>
  <c r="T8" i="4" s="1"/>
  <c r="T10" i="4"/>
  <c r="M12" i="5"/>
  <c r="N12" i="5"/>
  <c r="G8" i="5" l="1"/>
  <c r="N8" i="5" s="1"/>
  <c r="M8" i="5" l="1"/>
</calcChain>
</file>

<file path=xl/sharedStrings.xml><?xml version="1.0" encoding="utf-8"?>
<sst xmlns="http://schemas.openxmlformats.org/spreadsheetml/2006/main" count="327" uniqueCount="98">
  <si>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</si>
  <si>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</si>
  <si>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</si>
  <si>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</si>
  <si>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</si>
  <si>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</si>
  <si>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</si>
  <si>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</si>
  <si>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</si>
  <si>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</si>
  <si>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</si>
  <si>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</si>
  <si>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</si>
  <si>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</si>
  <si>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</si>
  <si>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</si>
  <si>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</si>
  <si>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</si>
  <si>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</si>
  <si>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</si>
  <si>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</si>
  <si>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</si>
  <si>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</si>
  <si>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</si>
  <si>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</si>
  <si>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</si>
  <si>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OTROS GASTOS PERSONALES (DISTRIBUCION PREVIO CONCEPTO DGPPN)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</si>
  <si>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</si>
  <si>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</si>
  <si>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</si>
  <si>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</si>
  <si>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</si>
  <si>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</si>
  <si>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</si>
  <si>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</si>
  <si>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</si>
  <si>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</si>
  <si>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</si>
  <si>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</si>
  <si>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</si>
  <si>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</si>
  <si>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</si>
  <si>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</si>
  <si>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</si>
  <si>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</si>
  <si>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</si>
  <si>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</si>
  <si>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</si>
  <si>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</si>
  <si>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</si>
  <si>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</si>
  <si>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</si>
  <si>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</si>
  <si>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</si>
  <si>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</si>
  <si>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</si>
  <si>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</si>
  <si>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</si>
  <si>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</si>
  <si>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</si>
  <si>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</si>
  <si>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</si>
  <si>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</si>
  <si>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</si>
  <si>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</si>
  <si>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</si>
  <si>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</si>
  <si>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</si>
  <si>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</si>
  <si>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</si>
  <si>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</si>
  <si>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</si>
  <si>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</si>
  <si>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</si>
  <si>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</si>
  <si>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</si>
  <si>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</si>
  <si>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</si>
  <si>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Diseño, Instalación y Mant. Centro de Cómputo de la Superintendencia de la Economía Solidaria.</t>
  </si>
  <si>
    <t>Sistematizacion Integral de la Información Institucional en la Superintendencia de la Economía Solidaria Bogotá.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</si>
  <si>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</si>
  <si>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</si>
  <si>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</si>
  <si>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</si>
  <si>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</si>
  <si>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</si>
  <si>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Grupo Administrativo y Financiero</t>
  </si>
  <si>
    <t xml:space="preserve">REDUCCIONES </t>
  </si>
  <si>
    <t xml:space="preserve">Fortalecimiento de  la regulación de las organizaciones del sector real de la economía solidaria a nivel nacional </t>
  </si>
  <si>
    <t>Fortalecimiento modelo de supervisión con un enfoque basado en riesgos y en estándares NIIF en el sector vigilado a nivel nacional</t>
  </si>
  <si>
    <t>PAGOS PASIVOS EXIGIBLES VIGENCIA EXPIRADAS</t>
  </si>
  <si>
    <t xml:space="preserve">Coordinadora Administrativa Y Financiera </t>
  </si>
  <si>
    <t xml:space="preserve"> </t>
  </si>
  <si>
    <t>DUNIA SOAD DE LA VEGA JALILIE</t>
  </si>
  <si>
    <t xml:space="preserve">Secretaria General </t>
  </si>
  <si>
    <t>EJECUCION ACUMULADA DICIEMBRE DE 2013</t>
  </si>
  <si>
    <t>EJECUCION ACUMULADA MES DE DICIEMBRE DE 2013</t>
  </si>
  <si>
    <t>EJECUCION ACUM DICIEMBRE DE 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</si>
</sst>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9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10" fillId="0" borderId="0" xfId="0" applyNumberFormat="1" applyFont="1" applyFill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166" fontId="9" fillId="0" borderId="13" xfId="1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/>
    </xf>
    <xf numFmtId="0" fontId="9" fillId="0" borderId="16" xfId="0" applyFont="1" applyBorder="1"/>
    <xf numFmtId="3" fontId="9" fillId="0" borderId="16" xfId="1" applyNumberFormat="1" applyFont="1" applyBorder="1"/>
    <xf numFmtId="166" fontId="9" fillId="0" borderId="16" xfId="1" applyNumberFormat="1" applyFont="1" applyBorder="1"/>
    <xf numFmtId="3" fontId="9" fillId="0" borderId="16" xfId="1" applyNumberFormat="1" applyFont="1" applyFill="1" applyBorder="1" applyAlignment="1"/>
    <xf numFmtId="3" fontId="9" fillId="0" borderId="16" xfId="1" applyNumberFormat="1" applyFont="1" applyBorder="1" applyAlignment="1"/>
    <xf numFmtId="3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/>
    <xf numFmtId="3" fontId="6" fillId="0" borderId="0" xfId="1" applyNumberFormat="1" applyFont="1" applyFill="1" applyBorder="1" applyAlignment="1">
      <alignment horizontal="right" wrapText="1"/>
    </xf>
    <xf numFmtId="166" fontId="6" fillId="0" borderId="17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9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7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1" xfId="0" applyFont="1" applyFill="1" applyBorder="1" applyAlignment="1">
      <alignment horizontal="center" vertical="center" wrapText="1"/>
    </xf>
    <xf numFmtId="3" fontId="7" fillId="0" borderId="22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3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vertical="center" wrapText="1"/>
    </xf>
    <xf numFmtId="167" fontId="7" fillId="0" borderId="2" xfId="2" applyNumberFormat="1" applyFont="1" applyFill="1" applyBorder="1" applyAlignment="1">
      <alignment wrapText="1"/>
    </xf>
    <xf numFmtId="3" fontId="9" fillId="0" borderId="19" xfId="2" applyNumberFormat="1" applyFont="1" applyFill="1" applyBorder="1" applyAlignment="1">
      <alignment horizontal="right" wrapText="1"/>
    </xf>
    <xf numFmtId="3" fontId="9" fillId="0" borderId="19" xfId="2" applyNumberFormat="1" applyFont="1" applyFill="1" applyBorder="1" applyAlignment="1"/>
    <xf numFmtId="0" fontId="9" fillId="0" borderId="24" xfId="0" applyFont="1" applyBorder="1"/>
    <xf numFmtId="3" fontId="9" fillId="0" borderId="25" xfId="2" applyNumberFormat="1" applyFont="1" applyBorder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28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3" fontId="9" fillId="0" borderId="19" xfId="1" applyNumberFormat="1" applyFont="1" applyFill="1" applyBorder="1" applyAlignment="1">
      <alignment wrapText="1"/>
    </xf>
    <xf numFmtId="3" fontId="5" fillId="0" borderId="8" xfId="1" applyNumberFormat="1" applyFont="1" applyFill="1" applyBorder="1" applyAlignment="1">
      <alignment wrapText="1"/>
    </xf>
    <xf numFmtId="4" fontId="9" fillId="0" borderId="19" xfId="1" applyNumberFormat="1" applyFont="1" applyFill="1" applyBorder="1" applyAlignment="1">
      <alignment wrapText="1"/>
    </xf>
    <xf numFmtId="10" fontId="10" fillId="0" borderId="38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9" xfId="2" applyNumberFormat="1" applyFont="1" applyFill="1" applyBorder="1" applyAlignment="1">
      <alignment horizontal="right" wrapText="1"/>
    </xf>
    <xf numFmtId="3" fontId="8" fillId="0" borderId="0" xfId="1" applyNumberFormat="1" applyFont="1" applyFill="1" applyBorder="1" applyAlignment="1">
      <alignment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66" fontId="7" fillId="0" borderId="23" xfId="2" applyNumberFormat="1" applyFont="1" applyFill="1" applyBorder="1" applyAlignment="1">
      <alignment horizontal="right" wrapText="1"/>
    </xf>
    <xf numFmtId="0" fontId="7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Border="1"/>
    <xf numFmtId="166" fontId="8" fillId="0" borderId="0" xfId="0" applyNumberFormat="1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30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30" xfId="2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3" fontId="7" fillId="0" borderId="33" xfId="2" applyNumberFormat="1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3" fontId="7" fillId="0" borderId="30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5" xfId="1" applyNumberFormat="1" applyFont="1" applyFill="1" applyBorder="1" applyAlignment="1">
      <alignment horizontal="center" vertical="center"/>
    </xf>
    <xf numFmtId="3" fontId="7" fillId="0" borderId="36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9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9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W91"/>
  <sheetViews>
    <sheetView topLeftCell="C81" zoomScaleNormal="100" workbookViewId="0">
      <selection activeCell="P86" sqref="P86"/>
    </sheetView>
  </sheetViews>
  <sheetFormatPr baseColWidth="10" defaultColWidth="11.5703125" defaultRowHeight="12" x14ac:dyDescent="0.2"/>
  <cols>
    <col min="1" max="1" width="5.140625" style="11" bestFit="1" customWidth="1"/>
    <col min="2" max="2" width="9.5703125" style="11" bestFit="1" customWidth="1"/>
    <col min="3" max="3" width="4.85546875" style="11" bestFit="1" customWidth="1"/>
    <col min="4" max="4" width="7.42578125" style="11" customWidth="1"/>
    <col min="5" max="5" width="5.28515625" style="11" customWidth="1"/>
    <col min="6" max="6" width="36.7109375" style="11" customWidth="1"/>
    <col min="7" max="7" width="18.28515625" style="176" bestFit="1" customWidth="1"/>
    <col min="8" max="8" width="1.7109375" style="177" customWidth="1"/>
    <col min="9" max="9" width="11.42578125" style="159" customWidth="1"/>
    <col min="10" max="10" width="13.7109375" style="159" customWidth="1"/>
    <col min="11" max="11" width="14" style="159" customWidth="1"/>
    <col min="12" max="12" width="12.7109375" style="159" customWidth="1"/>
    <col min="13" max="13" width="18.28515625" style="159" customWidth="1"/>
    <col min="14" max="14" width="1.7109375" style="178" customWidth="1"/>
    <col min="15" max="16" width="15.140625" style="179" customWidth="1"/>
    <col min="17" max="17" width="14.140625" style="179" customWidth="1"/>
    <col min="18" max="18" width="13.85546875" style="179" bestFit="1" customWidth="1"/>
    <col min="19" max="19" width="17" style="59" customWidth="1"/>
    <col min="20" max="22" width="12.28515625" style="274" bestFit="1" customWidth="1"/>
    <col min="23" max="23" width="12.28515625" style="11" bestFit="1" customWidth="1"/>
    <col min="24" max="16384" width="11.5703125" style="11"/>
  </cols>
  <sheetData>
    <row r="1" spans="1:23" x14ac:dyDescent="0.2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3" x14ac:dyDescent="0.2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3" x14ac:dyDescent="0.2">
      <c r="A3" s="296" t="s">
        <v>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</row>
    <row r="4" spans="1:23" ht="12.75" thickBot="1" x14ac:dyDescent="0.25">
      <c r="A4" s="76"/>
      <c r="B4" s="76"/>
      <c r="C4" s="76"/>
      <c r="D4" s="76"/>
      <c r="E4" s="76"/>
      <c r="F4" s="76"/>
      <c r="G4" s="196"/>
      <c r="H4" s="197"/>
      <c r="I4" s="198"/>
      <c r="J4" s="198"/>
      <c r="K4" s="199"/>
      <c r="L4" s="199"/>
      <c r="M4" s="198"/>
      <c r="N4" s="200"/>
      <c r="O4" s="201"/>
      <c r="P4" s="201"/>
      <c r="Q4" s="201"/>
      <c r="R4" s="201"/>
      <c r="S4" s="77"/>
      <c r="T4" s="275"/>
    </row>
    <row r="5" spans="1:23" s="165" customFormat="1" ht="12.75" customHeight="1" thickBot="1" x14ac:dyDescent="0.25">
      <c r="A5" s="297" t="s">
        <v>3</v>
      </c>
      <c r="B5" s="297" t="s">
        <v>4</v>
      </c>
      <c r="C5" s="297" t="s">
        <v>5</v>
      </c>
      <c r="D5" s="297" t="s">
        <v>6</v>
      </c>
      <c r="E5" s="297" t="s">
        <v>7</v>
      </c>
      <c r="F5" s="297" t="s">
        <v>8</v>
      </c>
      <c r="G5" s="299" t="s">
        <v>9</v>
      </c>
      <c r="H5" s="203"/>
      <c r="I5" s="304" t="s">
        <v>10</v>
      </c>
      <c r="J5" s="305"/>
      <c r="K5" s="305"/>
      <c r="L5" s="306"/>
      <c r="M5" s="302" t="s">
        <v>13</v>
      </c>
      <c r="N5" s="204"/>
      <c r="O5" s="301" t="s">
        <v>95</v>
      </c>
      <c r="P5" s="301"/>
      <c r="Q5" s="301"/>
      <c r="R5" s="301"/>
      <c r="S5" s="164"/>
      <c r="T5" s="276"/>
      <c r="U5" s="276"/>
      <c r="V5" s="276"/>
    </row>
    <row r="6" spans="1:23" s="165" customFormat="1" ht="24.75" thickBot="1" x14ac:dyDescent="0.25">
      <c r="A6" s="298"/>
      <c r="B6" s="298"/>
      <c r="C6" s="298"/>
      <c r="D6" s="298"/>
      <c r="E6" s="298"/>
      <c r="F6" s="298"/>
      <c r="G6" s="300"/>
      <c r="H6" s="203"/>
      <c r="I6" s="205" t="s">
        <v>14</v>
      </c>
      <c r="J6" s="206" t="s">
        <v>15</v>
      </c>
      <c r="K6" s="207" t="s">
        <v>87</v>
      </c>
      <c r="L6" s="207" t="s">
        <v>12</v>
      </c>
      <c r="M6" s="303"/>
      <c r="N6" s="204"/>
      <c r="O6" s="209" t="s">
        <v>16</v>
      </c>
      <c r="P6" s="209" t="s">
        <v>17</v>
      </c>
      <c r="Q6" s="209" t="s">
        <v>18</v>
      </c>
      <c r="R6" s="209" t="s">
        <v>19</v>
      </c>
      <c r="S6" s="164"/>
      <c r="T6" s="276"/>
      <c r="U6" s="276"/>
      <c r="V6" s="276"/>
    </row>
    <row r="7" spans="1:23" x14ac:dyDescent="0.2">
      <c r="A7" s="69"/>
      <c r="B7" s="69"/>
      <c r="C7" s="69"/>
      <c r="D7" s="69"/>
      <c r="E7" s="69"/>
      <c r="F7" s="69"/>
      <c r="G7" s="210"/>
      <c r="H7" s="211"/>
      <c r="I7" s="212"/>
      <c r="J7" s="212"/>
      <c r="K7" s="212"/>
      <c r="L7" s="212"/>
      <c r="M7" s="212"/>
      <c r="N7" s="213"/>
      <c r="O7" s="212"/>
      <c r="P7" s="212"/>
      <c r="Q7" s="212"/>
      <c r="R7" s="212"/>
    </row>
    <row r="8" spans="1:23" x14ac:dyDescent="0.2">
      <c r="A8" s="71"/>
      <c r="B8" s="71"/>
      <c r="C8" s="71"/>
      <c r="D8" s="71"/>
      <c r="E8" s="71"/>
      <c r="F8" s="70" t="s">
        <v>81</v>
      </c>
      <c r="G8" s="211">
        <f>+G10+G80</f>
        <v>8153640406</v>
      </c>
      <c r="H8" s="211"/>
      <c r="I8" s="211">
        <f>+I10+I80</f>
        <v>127640530</v>
      </c>
      <c r="J8" s="211">
        <f>+J10+J80</f>
        <v>127640530</v>
      </c>
      <c r="K8" s="211">
        <f>+K10+K80</f>
        <v>0</v>
      </c>
      <c r="L8" s="211">
        <f>+L10+L80</f>
        <v>0</v>
      </c>
      <c r="M8" s="216">
        <f>+G8-I8+J8-L8+K8</f>
        <v>8153640406</v>
      </c>
      <c r="N8" s="213"/>
      <c r="O8" s="211">
        <f>+O10+O80</f>
        <v>7016688533</v>
      </c>
      <c r="P8" s="211">
        <f>+P10+P80</f>
        <v>7016688533</v>
      </c>
      <c r="Q8" s="211">
        <f>+Q10+Q80</f>
        <v>6927538154</v>
      </c>
      <c r="R8" s="211">
        <f>+R10+R80</f>
        <v>6927538154</v>
      </c>
      <c r="W8" s="59"/>
    </row>
    <row r="9" spans="1:23" x14ac:dyDescent="0.2">
      <c r="A9" s="71"/>
      <c r="B9" s="71"/>
      <c r="C9" s="71"/>
      <c r="D9" s="71"/>
      <c r="E9" s="71"/>
      <c r="F9" s="71"/>
      <c r="G9" s="211"/>
      <c r="H9" s="211"/>
      <c r="I9" s="213"/>
      <c r="J9" s="213"/>
      <c r="K9" s="213"/>
      <c r="L9" s="213"/>
      <c r="M9" s="213"/>
      <c r="N9" s="213"/>
      <c r="O9" s="213"/>
      <c r="P9" s="213"/>
      <c r="Q9" s="213"/>
      <c r="R9" s="213"/>
    </row>
    <row r="10" spans="1:23" s="166" customFormat="1" x14ac:dyDescent="0.2">
      <c r="A10" s="33">
        <v>1</v>
      </c>
      <c r="B10" s="71"/>
      <c r="C10" s="71"/>
      <c r="D10" s="71"/>
      <c r="E10" s="71"/>
      <c r="F10" s="70" t="s">
        <v>20</v>
      </c>
      <c r="G10" s="211">
        <f>+G12+G53+G75</f>
        <v>4112640406</v>
      </c>
      <c r="H10" s="211"/>
      <c r="I10" s="211">
        <f>+I12+I53+I75</f>
        <v>127640530</v>
      </c>
      <c r="J10" s="211">
        <f>+J12+J53+J75</f>
        <v>127640530</v>
      </c>
      <c r="K10" s="211">
        <f>+K12+K53+K75</f>
        <v>0</v>
      </c>
      <c r="L10" s="211">
        <f>+L12+L53+L75</f>
        <v>0</v>
      </c>
      <c r="M10" s="216">
        <f>+G10-I10+J10-L10+K10</f>
        <v>4112640406</v>
      </c>
      <c r="N10" s="213"/>
      <c r="O10" s="213">
        <f>+O12+O53+O75</f>
        <v>3369655852</v>
      </c>
      <c r="P10" s="213">
        <f>+P12+P53+P75</f>
        <v>3369655852</v>
      </c>
      <c r="Q10" s="213">
        <f>+Q12+Q53+Q75</f>
        <v>3369655852</v>
      </c>
      <c r="R10" s="213">
        <f>+R12+R53+R75</f>
        <v>3369655852</v>
      </c>
      <c r="S10" s="59"/>
      <c r="T10" s="274"/>
      <c r="U10" s="278"/>
      <c r="V10" s="278"/>
    </row>
    <row r="11" spans="1:23" x14ac:dyDescent="0.2">
      <c r="A11" s="71"/>
      <c r="B11" s="71"/>
      <c r="C11" s="71"/>
      <c r="D11" s="71"/>
      <c r="E11" s="71"/>
      <c r="F11" s="71"/>
      <c r="G11" s="211"/>
      <c r="H11" s="211"/>
      <c r="I11" s="213"/>
      <c r="J11" s="213"/>
      <c r="K11" s="213"/>
      <c r="L11" s="213"/>
      <c r="M11" s="213"/>
      <c r="N11" s="213"/>
      <c r="O11" s="213"/>
      <c r="P11" s="213"/>
      <c r="Q11" s="213"/>
      <c r="R11" s="213"/>
    </row>
    <row r="12" spans="1:23" s="166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4">
        <f>+G14+G43+G46</f>
        <v>1757156093</v>
      </c>
      <c r="H12" s="214"/>
      <c r="I12" s="214">
        <f>+I14+I43+I46</f>
        <v>30073530</v>
      </c>
      <c r="J12" s="214">
        <f>+J14+J43+J46</f>
        <v>30073530</v>
      </c>
      <c r="K12" s="214">
        <f>+K14+K43+K46</f>
        <v>0</v>
      </c>
      <c r="L12" s="214">
        <f>+L14+L43+L46</f>
        <v>0</v>
      </c>
      <c r="M12" s="216">
        <f>+G12-I12+J12-L12+K12</f>
        <v>1757156093</v>
      </c>
      <c r="N12" s="216"/>
      <c r="O12" s="213">
        <f>+O14+O43+O46</f>
        <v>1479924473</v>
      </c>
      <c r="P12" s="213">
        <f>+P14+P43+P46</f>
        <v>1479924473</v>
      </c>
      <c r="Q12" s="213">
        <f>+Q14+Q43+Q46</f>
        <v>1479924473</v>
      </c>
      <c r="R12" s="213">
        <f>+R14+R43+R46</f>
        <v>1479924473</v>
      </c>
      <c r="S12" s="59"/>
      <c r="T12" s="274"/>
      <c r="U12" s="278"/>
      <c r="V12" s="278"/>
    </row>
    <row r="13" spans="1:23" s="166" customFormat="1" x14ac:dyDescent="0.2">
      <c r="A13" s="96"/>
      <c r="B13" s="96"/>
      <c r="C13" s="96"/>
      <c r="D13" s="96"/>
      <c r="E13" s="96"/>
      <c r="F13" s="31"/>
      <c r="G13" s="214"/>
      <c r="H13" s="214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59"/>
      <c r="T13" s="274"/>
      <c r="U13" s="278"/>
      <c r="V13" s="278"/>
    </row>
    <row r="14" spans="1:23" s="166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3">
        <f>+G16+G20+G24+G34+G37</f>
        <v>269512772</v>
      </c>
      <c r="H14" s="213"/>
      <c r="I14" s="213">
        <f>+I16+I20+I24+I34+I37</f>
        <v>0</v>
      </c>
      <c r="J14" s="213">
        <f>+J24+J41</f>
        <v>21873530</v>
      </c>
      <c r="K14" s="213">
        <f>+K16+K20+K24+K34+K37</f>
        <v>0</v>
      </c>
      <c r="L14" s="213">
        <f>+L16+L20+L24+L34+L37</f>
        <v>0</v>
      </c>
      <c r="M14" s="213">
        <f>+G14-I14+J14-L14+K14</f>
        <v>291386302</v>
      </c>
      <c r="N14" s="215"/>
      <c r="O14" s="213">
        <f>+O16+O20+O24+O34+O37+O41</f>
        <v>116722454</v>
      </c>
      <c r="P14" s="213">
        <f t="shared" ref="P14:R14" si="0">+P16+P20+P24+P34+P37+P41</f>
        <v>116722454</v>
      </c>
      <c r="Q14" s="213">
        <f t="shared" si="0"/>
        <v>116722454</v>
      </c>
      <c r="R14" s="213">
        <f t="shared" si="0"/>
        <v>116722454</v>
      </c>
      <c r="S14" s="59"/>
      <c r="T14" s="274"/>
      <c r="U14" s="278"/>
      <c r="V14" s="278"/>
    </row>
    <row r="15" spans="1:23" x14ac:dyDescent="0.2">
      <c r="A15" s="33"/>
      <c r="B15" s="33"/>
      <c r="C15" s="33"/>
      <c r="D15" s="33"/>
      <c r="E15" s="33"/>
      <c r="F15" s="31"/>
      <c r="G15" s="214"/>
      <c r="H15" s="214"/>
      <c r="I15" s="215"/>
      <c r="J15" s="215"/>
      <c r="K15" s="218"/>
      <c r="L15" s="215"/>
      <c r="M15" s="215"/>
      <c r="N15" s="215"/>
      <c r="O15" s="215"/>
      <c r="P15" s="215"/>
      <c r="Q15" s="215"/>
      <c r="R15" s="215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4">
        <f>+G17+G18</f>
        <v>0</v>
      </c>
      <c r="H16" s="214"/>
      <c r="I16" s="214">
        <f>+I17+I18</f>
        <v>0</v>
      </c>
      <c r="J16" s="214">
        <f>+J17+J18</f>
        <v>0</v>
      </c>
      <c r="K16" s="214">
        <f>+K17+K18</f>
        <v>0</v>
      </c>
      <c r="L16" s="214">
        <f>+L17+L18</f>
        <v>0</v>
      </c>
      <c r="M16" s="216">
        <f>+G16-I16+J16-L16+K16</f>
        <v>0</v>
      </c>
      <c r="N16" s="215"/>
      <c r="O16" s="213">
        <f>SUM(O17:O18)</f>
        <v>0</v>
      </c>
      <c r="P16" s="213">
        <f>SUM(P17:P18)</f>
        <v>0</v>
      </c>
      <c r="Q16" s="213">
        <f>SUM(Q17:Q18)</f>
        <v>0</v>
      </c>
      <c r="R16" s="213">
        <f>SUM(R17:R18)</f>
        <v>0</v>
      </c>
    </row>
    <row r="17" spans="1:22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46</v>
      </c>
      <c r="G17" s="219">
        <v>0</v>
      </c>
      <c r="H17" s="219"/>
      <c r="I17" s="217"/>
      <c r="J17" s="217"/>
      <c r="K17" s="217"/>
      <c r="L17" s="217"/>
      <c r="M17" s="217">
        <f t="shared" ref="M17" si="1">+G17-I17+J17-L17+K17</f>
        <v>0</v>
      </c>
      <c r="N17" s="217"/>
      <c r="O17" s="262"/>
      <c r="P17" s="262"/>
      <c r="Q17" s="262"/>
      <c r="R17" s="262"/>
    </row>
    <row r="18" spans="1:22" s="166" customFormat="1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47</v>
      </c>
      <c r="G18" s="219">
        <v>0</v>
      </c>
      <c r="H18" s="219"/>
      <c r="I18" s="217"/>
      <c r="J18" s="217"/>
      <c r="K18" s="217">
        <v>0</v>
      </c>
      <c r="L18" s="217"/>
      <c r="M18" s="217">
        <f>+G18-I18+J18-L18+K18</f>
        <v>0</v>
      </c>
      <c r="N18" s="217"/>
      <c r="O18" s="262"/>
      <c r="P18" s="262"/>
      <c r="Q18" s="262"/>
      <c r="R18" s="262"/>
      <c r="S18" s="59"/>
      <c r="T18" s="274"/>
      <c r="U18" s="278"/>
      <c r="V18" s="278"/>
    </row>
    <row r="19" spans="1:22" x14ac:dyDescent="0.2">
      <c r="A19" s="96"/>
      <c r="B19" s="96"/>
      <c r="C19" s="96"/>
      <c r="D19" s="96"/>
      <c r="E19" s="96"/>
      <c r="F19" s="22"/>
      <c r="G19" s="219"/>
      <c r="H19" s="219"/>
      <c r="I19" s="217"/>
      <c r="J19" s="217"/>
      <c r="K19" s="217"/>
      <c r="L19" s="217"/>
      <c r="M19" s="217"/>
      <c r="N19" s="217"/>
      <c r="O19" s="217"/>
      <c r="P19" s="217"/>
      <c r="Q19" s="217"/>
      <c r="R19" s="217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14">
        <f>+G21+G22</f>
        <v>0</v>
      </c>
      <c r="H20" s="214"/>
      <c r="I20" s="214">
        <f>+I21+I22</f>
        <v>0</v>
      </c>
      <c r="J20" s="214">
        <f>+J21+J22</f>
        <v>0</v>
      </c>
      <c r="K20" s="214">
        <f>+K21+K22</f>
        <v>0</v>
      </c>
      <c r="L20" s="214">
        <f>+L21+L22</f>
        <v>0</v>
      </c>
      <c r="M20" s="216">
        <f>+G20-I20+J20-L20+K20</f>
        <v>0</v>
      </c>
      <c r="N20" s="215"/>
      <c r="O20" s="213">
        <f>SUM(O21:O22)</f>
        <v>0</v>
      </c>
      <c r="P20" s="213">
        <f>SUM(P21:P22)</f>
        <v>0</v>
      </c>
      <c r="Q20" s="213">
        <f>SUM(Q21:Q22)</f>
        <v>0</v>
      </c>
      <c r="R20" s="213">
        <f>SUM(R21:R22)</f>
        <v>0</v>
      </c>
    </row>
    <row r="21" spans="1:22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48</v>
      </c>
      <c r="G21" s="219">
        <v>0</v>
      </c>
      <c r="H21" s="219"/>
      <c r="I21" s="217"/>
      <c r="J21" s="217"/>
      <c r="K21" s="217"/>
      <c r="L21" s="217"/>
      <c r="M21" s="217">
        <f t="shared" ref="M21" si="2">+G21-I21+J21-L21+K21</f>
        <v>0</v>
      </c>
      <c r="N21" s="217"/>
      <c r="O21" s="219"/>
      <c r="P21" s="219"/>
      <c r="Q21" s="219"/>
      <c r="R21" s="219"/>
    </row>
    <row r="22" spans="1:22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49</v>
      </c>
      <c r="G22" s="219">
        <v>0</v>
      </c>
      <c r="H22" s="219"/>
      <c r="I22" s="217"/>
      <c r="J22" s="217"/>
      <c r="K22" s="217"/>
      <c r="L22" s="217"/>
      <c r="M22" s="217">
        <f>+G22-I22+J22-L22+K22</f>
        <v>0</v>
      </c>
      <c r="N22" s="217"/>
      <c r="O22" s="219"/>
      <c r="P22" s="219"/>
      <c r="Q22" s="219"/>
      <c r="R22" s="219"/>
    </row>
    <row r="23" spans="1:22" x14ac:dyDescent="0.2">
      <c r="A23" s="96"/>
      <c r="B23" s="96"/>
      <c r="C23" s="96"/>
      <c r="D23" s="96"/>
      <c r="E23" s="96"/>
      <c r="F23" s="22"/>
      <c r="G23" s="219"/>
      <c r="H23" s="219"/>
      <c r="I23" s="217"/>
      <c r="J23" s="217"/>
      <c r="K23" s="217"/>
      <c r="L23" s="217"/>
      <c r="M23" s="217"/>
      <c r="N23" s="217"/>
      <c r="O23" s="217"/>
      <c r="P23" s="217"/>
      <c r="Q23" s="217"/>
      <c r="R23" s="217"/>
    </row>
    <row r="24" spans="1:22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214">
        <f>SUM(G25:G32)</f>
        <v>98592145</v>
      </c>
      <c r="H24" s="214"/>
      <c r="I24" s="214">
        <f>SUM(I25:I32)</f>
        <v>0</v>
      </c>
      <c r="J24" s="214">
        <f>SUM(J25:J32)</f>
        <v>0</v>
      </c>
      <c r="K24" s="214">
        <f>SUM(K25:K32)</f>
        <v>0</v>
      </c>
      <c r="L24" s="214">
        <f>SUM(L25:L32)</f>
        <v>0</v>
      </c>
      <c r="M24" s="216">
        <f>+G24-I24+J24-L24+K24</f>
        <v>98592145</v>
      </c>
      <c r="N24" s="215"/>
      <c r="O24" s="213">
        <f>SUM(O25:O32)</f>
        <v>86979617</v>
      </c>
      <c r="P24" s="213">
        <f>SUM(P25:P32)</f>
        <v>86979617</v>
      </c>
      <c r="Q24" s="213">
        <f>SUM(Q25:Q32)</f>
        <v>86979617</v>
      </c>
      <c r="R24" s="213">
        <f>SUM(R25:R32)</f>
        <v>86979617</v>
      </c>
    </row>
    <row r="25" spans="1:22" ht="24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50</v>
      </c>
      <c r="G25" s="219">
        <v>72054126</v>
      </c>
      <c r="H25" s="219"/>
      <c r="I25" s="217"/>
      <c r="J25" s="217"/>
      <c r="K25" s="217"/>
      <c r="L25" s="217"/>
      <c r="M25" s="217">
        <f t="shared" ref="M25:M32" si="3">+G25-I25+J25-L25+K25</f>
        <v>72054126</v>
      </c>
      <c r="N25" s="217"/>
      <c r="O25" s="219">
        <v>62076568</v>
      </c>
      <c r="P25" s="219">
        <v>62076568</v>
      </c>
      <c r="Q25" s="219">
        <v>62076568</v>
      </c>
      <c r="R25" s="219">
        <v>62076568</v>
      </c>
    </row>
    <row r="26" spans="1:22" ht="24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51</v>
      </c>
      <c r="G26" s="219">
        <v>0</v>
      </c>
      <c r="H26" s="219"/>
      <c r="I26" s="217"/>
      <c r="J26" s="217"/>
      <c r="K26" s="217"/>
      <c r="L26" s="217"/>
      <c r="M26" s="217">
        <f t="shared" si="3"/>
        <v>0</v>
      </c>
      <c r="N26" s="217"/>
      <c r="O26" s="219"/>
      <c r="P26" s="219"/>
      <c r="Q26" s="219"/>
      <c r="R26" s="219"/>
    </row>
    <row r="27" spans="1:22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52</v>
      </c>
      <c r="G27" s="219">
        <v>7716000</v>
      </c>
      <c r="H27" s="219"/>
      <c r="I27" s="217"/>
      <c r="J27" s="217"/>
      <c r="K27" s="217"/>
      <c r="L27" s="217"/>
      <c r="M27" s="217">
        <f t="shared" si="3"/>
        <v>7716000</v>
      </c>
      <c r="N27" s="217"/>
      <c r="O27" s="219">
        <v>6987307</v>
      </c>
      <c r="P27" s="219">
        <v>6987307</v>
      </c>
      <c r="Q27" s="219">
        <v>6987307</v>
      </c>
      <c r="R27" s="219">
        <v>6987307</v>
      </c>
    </row>
    <row r="28" spans="1:22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53</v>
      </c>
      <c r="G28" s="219">
        <v>9177000</v>
      </c>
      <c r="H28" s="219"/>
      <c r="I28" s="217"/>
      <c r="J28" s="217"/>
      <c r="K28" s="217"/>
      <c r="L28" s="217"/>
      <c r="M28" s="217">
        <f t="shared" si="3"/>
        <v>9177000</v>
      </c>
      <c r="N28" s="217"/>
      <c r="O28" s="219">
        <v>8270723</v>
      </c>
      <c r="P28" s="219">
        <v>8270723</v>
      </c>
      <c r="Q28" s="219">
        <v>8270723</v>
      </c>
      <c r="R28" s="219">
        <v>8270723</v>
      </c>
    </row>
    <row r="29" spans="1:22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54</v>
      </c>
      <c r="G29" s="219">
        <v>0</v>
      </c>
      <c r="H29" s="219"/>
      <c r="I29" s="217"/>
      <c r="J29" s="217"/>
      <c r="K29" s="217"/>
      <c r="L29" s="217"/>
      <c r="M29" s="217">
        <f t="shared" si="3"/>
        <v>0</v>
      </c>
      <c r="N29" s="217"/>
      <c r="O29" s="219"/>
      <c r="P29" s="219"/>
      <c r="Q29" s="219"/>
      <c r="R29" s="219"/>
    </row>
    <row r="30" spans="1:22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55</v>
      </c>
      <c r="G30" s="219">
        <v>0</v>
      </c>
      <c r="H30" s="219"/>
      <c r="I30" s="217"/>
      <c r="J30" s="217"/>
      <c r="K30" s="217"/>
      <c r="L30" s="217"/>
      <c r="M30" s="217">
        <f t="shared" si="3"/>
        <v>0</v>
      </c>
      <c r="N30" s="217"/>
      <c r="O30" s="219"/>
      <c r="P30" s="219"/>
      <c r="Q30" s="219"/>
      <c r="R30" s="219"/>
    </row>
    <row r="31" spans="1:22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56</v>
      </c>
      <c r="G31" s="219">
        <v>0</v>
      </c>
      <c r="H31" s="219"/>
      <c r="I31" s="217"/>
      <c r="J31" s="217"/>
      <c r="K31" s="217"/>
      <c r="L31" s="217"/>
      <c r="M31" s="217">
        <f t="shared" si="3"/>
        <v>0</v>
      </c>
      <c r="N31" s="217"/>
      <c r="O31" s="219"/>
      <c r="P31" s="219"/>
      <c r="Q31" s="219"/>
      <c r="R31" s="219"/>
    </row>
    <row r="32" spans="1:22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57</v>
      </c>
      <c r="G32" s="219">
        <v>9645019</v>
      </c>
      <c r="H32" s="219"/>
      <c r="I32" s="217"/>
      <c r="J32" s="217"/>
      <c r="K32" s="217"/>
      <c r="L32" s="217"/>
      <c r="M32" s="217">
        <f t="shared" si="3"/>
        <v>9645019</v>
      </c>
      <c r="N32" s="217"/>
      <c r="O32" s="219">
        <v>9645019</v>
      </c>
      <c r="P32" s="219">
        <v>9645019</v>
      </c>
      <c r="Q32" s="219">
        <v>9645019</v>
      </c>
      <c r="R32" s="219">
        <v>9645019</v>
      </c>
    </row>
    <row r="33" spans="1:23" x14ac:dyDescent="0.2">
      <c r="A33" s="96"/>
      <c r="B33" s="96"/>
      <c r="C33" s="96"/>
      <c r="D33" s="96"/>
      <c r="E33" s="96"/>
      <c r="F33" s="22"/>
      <c r="G33" s="219"/>
      <c r="H33" s="219"/>
      <c r="I33" s="217"/>
      <c r="J33" s="217"/>
      <c r="K33" s="217"/>
      <c r="L33" s="217"/>
      <c r="M33" s="217"/>
      <c r="N33" s="217"/>
      <c r="O33" s="219"/>
      <c r="P33" s="219"/>
      <c r="Q33" s="219"/>
      <c r="R33" s="219"/>
    </row>
    <row r="34" spans="1:23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214">
        <f>+G35</f>
        <v>163051320</v>
      </c>
      <c r="H34" s="214"/>
      <c r="I34" s="214">
        <f>+I35</f>
        <v>0</v>
      </c>
      <c r="J34" s="214">
        <f>+J35</f>
        <v>0</v>
      </c>
      <c r="K34" s="214">
        <f>+K35</f>
        <v>0</v>
      </c>
      <c r="L34" s="214">
        <f>+L35</f>
        <v>0</v>
      </c>
      <c r="M34" s="216">
        <f>+G34-I34+J34-L34+K34</f>
        <v>163051320</v>
      </c>
      <c r="N34" s="215"/>
      <c r="O34" s="213">
        <f>+O35</f>
        <v>0</v>
      </c>
      <c r="P34" s="213">
        <f>+P35</f>
        <v>0</v>
      </c>
      <c r="Q34" s="213">
        <f>+Q35</f>
        <v>0</v>
      </c>
      <c r="R34" s="213">
        <f>+R35</f>
        <v>0</v>
      </c>
    </row>
    <row r="35" spans="1:23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219">
        <v>163051320</v>
      </c>
      <c r="H35" s="219"/>
      <c r="I35" s="217"/>
      <c r="J35" s="217"/>
      <c r="K35" s="217"/>
      <c r="L35" s="217"/>
      <c r="M35" s="217">
        <f>+G35-I35+J35-L35+K35</f>
        <v>163051320</v>
      </c>
      <c r="N35" s="217"/>
      <c r="O35" s="219">
        <v>0</v>
      </c>
      <c r="P35" s="219">
        <v>0</v>
      </c>
      <c r="Q35" s="219">
        <v>0</v>
      </c>
      <c r="R35" s="219">
        <v>0</v>
      </c>
    </row>
    <row r="36" spans="1:23" x14ac:dyDescent="0.2">
      <c r="A36" s="96"/>
      <c r="B36" s="96"/>
      <c r="C36" s="96"/>
      <c r="D36" s="96"/>
      <c r="E36" s="96"/>
      <c r="F36" s="22"/>
      <c r="G36" s="219"/>
      <c r="H36" s="219"/>
      <c r="I36" s="217"/>
      <c r="J36" s="217"/>
      <c r="K36" s="217"/>
      <c r="L36" s="217"/>
      <c r="M36" s="217"/>
      <c r="N36" s="217"/>
      <c r="O36" s="217"/>
      <c r="P36" s="217"/>
      <c r="Q36" s="217"/>
      <c r="R36" s="217"/>
      <c r="W36" s="47"/>
    </row>
    <row r="37" spans="1:23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214">
        <f>+G38+G39</f>
        <v>7869307</v>
      </c>
      <c r="H37" s="214"/>
      <c r="I37" s="214">
        <f>+I38+I39</f>
        <v>0</v>
      </c>
      <c r="J37" s="214">
        <f>+J38+J39</f>
        <v>0</v>
      </c>
      <c r="K37" s="214">
        <f>+K38+K39</f>
        <v>0</v>
      </c>
      <c r="L37" s="214">
        <f>+L38+L39</f>
        <v>0</v>
      </c>
      <c r="M37" s="216">
        <f>+G37-I37+J37-L37+K37</f>
        <v>7869307</v>
      </c>
      <c r="N37" s="216"/>
      <c r="O37" s="213">
        <f>SUM(O38:O39)</f>
        <v>7869307</v>
      </c>
      <c r="P37" s="213">
        <f>SUM(P38:P39)</f>
        <v>7869307</v>
      </c>
      <c r="Q37" s="213">
        <f>SUM(Q38:Q39)</f>
        <v>7869307</v>
      </c>
      <c r="R37" s="213">
        <f>SUM(R38:R39)</f>
        <v>7869307</v>
      </c>
    </row>
    <row r="38" spans="1:23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58</v>
      </c>
      <c r="G38" s="219">
        <v>7869307</v>
      </c>
      <c r="H38" s="219"/>
      <c r="I38" s="217"/>
      <c r="J38" s="217"/>
      <c r="K38" s="214">
        <f>+K39+K40</f>
        <v>0</v>
      </c>
      <c r="L38" s="217"/>
      <c r="M38" s="217">
        <f>+G38-I38+J38-L38+K38</f>
        <v>7869307</v>
      </c>
      <c r="N38" s="217"/>
      <c r="O38" s="219">
        <v>7869307</v>
      </c>
      <c r="P38" s="219">
        <v>7869307</v>
      </c>
      <c r="Q38" s="219">
        <v>7869307</v>
      </c>
      <c r="R38" s="219">
        <v>7869307</v>
      </c>
    </row>
    <row r="39" spans="1:23" s="166" customFormat="1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59</v>
      </c>
      <c r="G39" s="219">
        <v>0</v>
      </c>
      <c r="H39" s="219"/>
      <c r="I39" s="217"/>
      <c r="J39" s="217"/>
      <c r="K39" s="217"/>
      <c r="L39" s="217"/>
      <c r="M39" s="219">
        <f>+G39-I39+J39-L39+K39</f>
        <v>0</v>
      </c>
      <c r="N39" s="217"/>
      <c r="O39" s="219"/>
      <c r="P39" s="219"/>
      <c r="Q39" s="219"/>
      <c r="R39" s="219"/>
      <c r="S39" s="59"/>
      <c r="T39" s="274"/>
      <c r="U39" s="278"/>
      <c r="V39" s="278"/>
    </row>
    <row r="40" spans="1:23" x14ac:dyDescent="0.2">
      <c r="A40" s="96"/>
      <c r="B40" s="96"/>
      <c r="C40" s="96"/>
      <c r="D40" s="96"/>
      <c r="E40" s="96"/>
      <c r="F40" s="22"/>
      <c r="G40" s="219"/>
      <c r="H40" s="219"/>
      <c r="I40" s="217"/>
      <c r="J40" s="217"/>
      <c r="K40" s="217"/>
      <c r="L40" s="217"/>
      <c r="M40" s="217"/>
      <c r="N40" s="217"/>
      <c r="O40" s="217"/>
      <c r="P40" s="217"/>
      <c r="Q40" s="217"/>
      <c r="R40" s="217"/>
    </row>
    <row r="41" spans="1:23" ht="24" x14ac:dyDescent="0.2">
      <c r="A41" s="96">
        <v>1</v>
      </c>
      <c r="B41" s="96">
        <v>0</v>
      </c>
      <c r="C41" s="96">
        <v>1</v>
      </c>
      <c r="D41" s="96">
        <v>999</v>
      </c>
      <c r="E41" s="96"/>
      <c r="F41" s="22" t="s">
        <v>90</v>
      </c>
      <c r="G41" s="219">
        <v>0</v>
      </c>
      <c r="H41" s="219"/>
      <c r="I41" s="217"/>
      <c r="J41" s="217">
        <v>21873530</v>
      </c>
      <c r="K41" s="217"/>
      <c r="L41" s="217"/>
      <c r="M41" s="216">
        <f>+G41-I41+J41-L41+K41</f>
        <v>21873530</v>
      </c>
      <c r="N41" s="217"/>
      <c r="O41" s="216">
        <v>21873530</v>
      </c>
      <c r="P41" s="216">
        <v>21873530</v>
      </c>
      <c r="Q41" s="216">
        <v>21873530</v>
      </c>
      <c r="R41" s="216">
        <v>21873530</v>
      </c>
    </row>
    <row r="42" spans="1:23" x14ac:dyDescent="0.2">
      <c r="A42" s="96"/>
      <c r="B42" s="96"/>
      <c r="C42" s="96"/>
      <c r="D42" s="96"/>
      <c r="E42" s="96"/>
      <c r="F42" s="22"/>
      <c r="G42" s="219"/>
      <c r="H42" s="219"/>
      <c r="I42" s="217"/>
      <c r="J42" s="217"/>
      <c r="K42" s="217"/>
      <c r="L42" s="217"/>
      <c r="M42" s="217"/>
      <c r="N42" s="217"/>
      <c r="O42" s="217"/>
      <c r="P42" s="217"/>
      <c r="Q42" s="217"/>
      <c r="R42" s="217"/>
    </row>
    <row r="43" spans="1:23" ht="13.5" x14ac:dyDescent="0.2">
      <c r="A43" s="33">
        <v>1</v>
      </c>
      <c r="B43" s="33">
        <v>0</v>
      </c>
      <c r="C43" s="33">
        <v>2</v>
      </c>
      <c r="D43" s="33"/>
      <c r="E43" s="33"/>
      <c r="F43" s="31" t="s">
        <v>28</v>
      </c>
      <c r="G43" s="214">
        <f>+G44</f>
        <v>439389056</v>
      </c>
      <c r="H43" s="214"/>
      <c r="I43" s="214">
        <f>+I44</f>
        <v>0</v>
      </c>
      <c r="J43" s="214">
        <f>+J44</f>
        <v>0</v>
      </c>
      <c r="K43" s="214">
        <f>+K44</f>
        <v>0</v>
      </c>
      <c r="L43" s="214">
        <f>+L44</f>
        <v>0</v>
      </c>
      <c r="M43" s="216">
        <f>+G43-I43+J43+L43-K43</f>
        <v>439389056</v>
      </c>
      <c r="N43" s="215"/>
      <c r="O43" s="213">
        <f>+O44</f>
        <v>416555300</v>
      </c>
      <c r="P43" s="213">
        <f>+P44</f>
        <v>416555300</v>
      </c>
      <c r="Q43" s="213">
        <f>+Q44</f>
        <v>416555300</v>
      </c>
      <c r="R43" s="213">
        <f>+R44</f>
        <v>416555300</v>
      </c>
      <c r="T43" s="277"/>
    </row>
    <row r="44" spans="1:23" s="166" customFormat="1" x14ac:dyDescent="0.2">
      <c r="A44" s="96">
        <v>1</v>
      </c>
      <c r="B44" s="96">
        <v>0</v>
      </c>
      <c r="C44" s="96">
        <v>2</v>
      </c>
      <c r="D44" s="96">
        <v>14</v>
      </c>
      <c r="E44" s="96"/>
      <c r="F44" s="22" t="s">
        <v>60</v>
      </c>
      <c r="G44" s="219">
        <v>439389056</v>
      </c>
      <c r="H44" s="219"/>
      <c r="I44" s="217"/>
      <c r="J44" s="217"/>
      <c r="K44" s="217">
        <v>0</v>
      </c>
      <c r="L44" s="217">
        <v>0</v>
      </c>
      <c r="M44" s="217">
        <f>+G44-I44+J44+L44-K44</f>
        <v>439389056</v>
      </c>
      <c r="N44" s="217"/>
      <c r="O44" s="219">
        <v>416555300</v>
      </c>
      <c r="P44" s="219">
        <v>416555300</v>
      </c>
      <c r="Q44" s="219">
        <v>416555300</v>
      </c>
      <c r="R44" s="219">
        <v>416555300</v>
      </c>
      <c r="S44" s="59"/>
      <c r="T44" s="274"/>
      <c r="U44" s="278"/>
      <c r="V44" s="278"/>
    </row>
    <row r="45" spans="1:23" ht="12" customHeight="1" x14ac:dyDescent="0.2">
      <c r="A45" s="96"/>
      <c r="B45" s="96"/>
      <c r="C45" s="96"/>
      <c r="D45" s="96"/>
      <c r="E45" s="96"/>
      <c r="F45" s="22"/>
      <c r="G45" s="219"/>
      <c r="H45" s="219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T45" s="277"/>
    </row>
    <row r="46" spans="1:23" s="166" customFormat="1" ht="22.5" customHeight="1" x14ac:dyDescent="0.2">
      <c r="A46" s="33">
        <v>1</v>
      </c>
      <c r="B46" s="33">
        <v>0</v>
      </c>
      <c r="C46" s="33">
        <v>5</v>
      </c>
      <c r="D46" s="33"/>
      <c r="E46" s="33"/>
      <c r="F46" s="31" t="s">
        <v>29</v>
      </c>
      <c r="G46" s="214">
        <f>SUM(G48:G51)</f>
        <v>1048254265</v>
      </c>
      <c r="H46" s="214"/>
      <c r="I46" s="214">
        <f>SUM(I48:I51)</f>
        <v>30073530</v>
      </c>
      <c r="J46" s="214">
        <f>SUM(J48:J51)</f>
        <v>8200000</v>
      </c>
      <c r="K46" s="214">
        <f>SUM(K48:K51)</f>
        <v>0</v>
      </c>
      <c r="L46" s="214">
        <f>SUM(L48:L51)</f>
        <v>0</v>
      </c>
      <c r="M46" s="216">
        <f>+G46-I46+J46-L46+K46</f>
        <v>1026380735</v>
      </c>
      <c r="N46" s="215"/>
      <c r="O46" s="216">
        <f>SUM(O48:O51)</f>
        <v>946646719</v>
      </c>
      <c r="P46" s="216">
        <f>SUM(P48:P51)</f>
        <v>946646719</v>
      </c>
      <c r="Q46" s="216">
        <f>SUM(Q48:Q51)</f>
        <v>946646719</v>
      </c>
      <c r="R46" s="216">
        <f>SUM(R48:R51)</f>
        <v>946646719</v>
      </c>
      <c r="S46" s="59"/>
      <c r="T46" s="274"/>
      <c r="U46" s="278"/>
      <c r="V46" s="278"/>
    </row>
    <row r="47" spans="1:23" s="166" customFormat="1" ht="15" customHeight="1" x14ac:dyDescent="0.2">
      <c r="A47" s="33"/>
      <c r="B47" s="33"/>
      <c r="C47" s="33"/>
      <c r="D47" s="33"/>
      <c r="E47" s="33"/>
      <c r="F47" s="31"/>
      <c r="G47" s="214"/>
      <c r="H47" s="214"/>
      <c r="I47" s="217"/>
      <c r="J47" s="217"/>
      <c r="K47" s="217"/>
      <c r="L47" s="217"/>
      <c r="M47" s="217"/>
      <c r="N47" s="217"/>
      <c r="O47" s="217"/>
      <c r="P47" s="217"/>
      <c r="Q47" s="217"/>
      <c r="R47" s="217"/>
      <c r="S47" s="59"/>
      <c r="T47" s="274"/>
      <c r="U47" s="278"/>
      <c r="V47" s="278"/>
    </row>
    <row r="48" spans="1:23" ht="24" x14ac:dyDescent="0.2">
      <c r="A48" s="96">
        <v>1</v>
      </c>
      <c r="B48" s="96">
        <v>0</v>
      </c>
      <c r="C48" s="96">
        <v>5</v>
      </c>
      <c r="D48" s="96">
        <v>1</v>
      </c>
      <c r="E48" s="96"/>
      <c r="F48" s="22" t="s">
        <v>30</v>
      </c>
      <c r="G48" s="219">
        <f>110778600+148402552+216988816+16462460</f>
        <v>492632428</v>
      </c>
      <c r="H48" s="219"/>
      <c r="I48" s="220"/>
      <c r="J48" s="220"/>
      <c r="K48" s="220"/>
      <c r="L48" s="220"/>
      <c r="M48" s="217">
        <f>+G48-I48+J48-L48+K48</f>
        <v>492632428</v>
      </c>
      <c r="N48" s="220"/>
      <c r="O48" s="219">
        <v>455968692</v>
      </c>
      <c r="P48" s="219">
        <v>455968692</v>
      </c>
      <c r="Q48" s="219">
        <v>455968692</v>
      </c>
      <c r="R48" s="219">
        <v>455968692</v>
      </c>
    </row>
    <row r="49" spans="1:22" ht="24" x14ac:dyDescent="0.2">
      <c r="A49" s="96">
        <v>1</v>
      </c>
      <c r="B49" s="96">
        <v>0</v>
      </c>
      <c r="C49" s="96">
        <v>5</v>
      </c>
      <c r="D49" s="96">
        <v>2</v>
      </c>
      <c r="E49" s="33"/>
      <c r="F49" s="22" t="s">
        <v>31</v>
      </c>
      <c r="G49" s="219">
        <f>233300400+160688542+6500000</f>
        <v>400488942</v>
      </c>
      <c r="H49" s="214"/>
      <c r="I49" s="220">
        <v>0</v>
      </c>
      <c r="J49" s="220">
        <v>0</v>
      </c>
      <c r="K49" s="215"/>
      <c r="L49" s="215"/>
      <c r="M49" s="217">
        <f>+G49-I49+J49-L49+K49</f>
        <v>400488942</v>
      </c>
      <c r="N49" s="215"/>
      <c r="O49" s="219">
        <v>358556027</v>
      </c>
      <c r="P49" s="219">
        <v>358556027</v>
      </c>
      <c r="Q49" s="219">
        <v>358556027</v>
      </c>
      <c r="R49" s="219">
        <v>358556027</v>
      </c>
    </row>
    <row r="50" spans="1:22" x14ac:dyDescent="0.2">
      <c r="A50" s="96">
        <v>1</v>
      </c>
      <c r="B50" s="96">
        <v>0</v>
      </c>
      <c r="C50" s="96">
        <v>5</v>
      </c>
      <c r="D50" s="96">
        <v>6</v>
      </c>
      <c r="E50" s="71"/>
      <c r="F50" s="22" t="s">
        <v>61</v>
      </c>
      <c r="G50" s="219">
        <v>93955860</v>
      </c>
      <c r="H50" s="219"/>
      <c r="I50" s="213">
        <v>21873530</v>
      </c>
      <c r="J50" s="246">
        <v>8200000</v>
      </c>
      <c r="K50" s="213"/>
      <c r="L50" s="213"/>
      <c r="M50" s="217">
        <f>+G50-I50+J50-L50+K50</f>
        <v>80282330</v>
      </c>
      <c r="N50" s="213"/>
      <c r="O50" s="219">
        <v>79870600</v>
      </c>
      <c r="P50" s="219">
        <v>79870600</v>
      </c>
      <c r="Q50" s="219">
        <v>79870600</v>
      </c>
      <c r="R50" s="219">
        <v>79870600</v>
      </c>
    </row>
    <row r="51" spans="1:22" s="166" customFormat="1" x14ac:dyDescent="0.2">
      <c r="A51" s="96">
        <v>1</v>
      </c>
      <c r="B51" s="96">
        <v>0</v>
      </c>
      <c r="C51" s="96">
        <v>5</v>
      </c>
      <c r="D51" s="96">
        <v>7</v>
      </c>
      <c r="E51" s="71"/>
      <c r="F51" s="22" t="s">
        <v>62</v>
      </c>
      <c r="G51" s="219">
        <v>61177035</v>
      </c>
      <c r="H51" s="219"/>
      <c r="I51" s="246">
        <v>8200000</v>
      </c>
      <c r="J51" s="213"/>
      <c r="K51" s="213"/>
      <c r="L51" s="213"/>
      <c r="M51" s="217">
        <f>+G51-I51+J51-L51+K51</f>
        <v>52977035</v>
      </c>
      <c r="N51" s="213"/>
      <c r="O51" s="219">
        <v>52251400</v>
      </c>
      <c r="P51" s="219">
        <v>52251400</v>
      </c>
      <c r="Q51" s="219">
        <v>52251400</v>
      </c>
      <c r="R51" s="219">
        <v>52251400</v>
      </c>
      <c r="S51" s="59"/>
      <c r="T51" s="274"/>
      <c r="U51" s="278"/>
      <c r="V51" s="278"/>
    </row>
    <row r="52" spans="1:22" x14ac:dyDescent="0.2">
      <c r="A52" s="71"/>
      <c r="B52" s="71"/>
      <c r="C52" s="71"/>
      <c r="D52" s="71"/>
      <c r="E52" s="71"/>
      <c r="F52" s="71"/>
      <c r="G52" s="219"/>
      <c r="H52" s="219"/>
      <c r="I52" s="213"/>
      <c r="J52" s="213"/>
      <c r="K52" s="213"/>
      <c r="L52" s="213"/>
      <c r="M52" s="213"/>
      <c r="N52" s="213"/>
      <c r="O52" s="213"/>
      <c r="P52" s="213"/>
      <c r="Q52" s="213"/>
      <c r="R52" s="213"/>
    </row>
    <row r="53" spans="1:22" s="166" customFormat="1" x14ac:dyDescent="0.2">
      <c r="A53" s="33">
        <v>2</v>
      </c>
      <c r="B53" s="33">
        <v>0</v>
      </c>
      <c r="C53" s="33"/>
      <c r="D53" s="33"/>
      <c r="E53" s="33"/>
      <c r="F53" s="31" t="s">
        <v>32</v>
      </c>
      <c r="G53" s="214">
        <f>+G55+G58</f>
        <v>2121198464</v>
      </c>
      <c r="H53" s="214"/>
      <c r="I53" s="214">
        <f>+I55+I58</f>
        <v>97567000</v>
      </c>
      <c r="J53" s="214">
        <f>+J55+J58</f>
        <v>97567000</v>
      </c>
      <c r="K53" s="214">
        <f>+K55+K58</f>
        <v>0</v>
      </c>
      <c r="L53" s="214">
        <f>+L55+L58</f>
        <v>0</v>
      </c>
      <c r="M53" s="216">
        <f>+G53-I53+J53-L53+K53</f>
        <v>2121198464</v>
      </c>
      <c r="N53" s="215"/>
      <c r="O53" s="213">
        <f>+O55+O58</f>
        <v>1873022480</v>
      </c>
      <c r="P53" s="213">
        <f>+P55+P58</f>
        <v>1873022480</v>
      </c>
      <c r="Q53" s="213">
        <f>+Q55+Q58</f>
        <v>1873022480</v>
      </c>
      <c r="R53" s="213">
        <f>+R55+R58</f>
        <v>1873022480</v>
      </c>
      <c r="S53" s="59"/>
      <c r="T53" s="274"/>
      <c r="U53" s="278"/>
      <c r="V53" s="278"/>
    </row>
    <row r="54" spans="1:22" x14ac:dyDescent="0.2">
      <c r="A54" s="33"/>
      <c r="B54" s="33"/>
      <c r="C54" s="33"/>
      <c r="D54" s="33"/>
      <c r="E54" s="33"/>
      <c r="F54" s="31"/>
      <c r="G54" s="214"/>
      <c r="H54" s="214"/>
      <c r="I54" s="215"/>
      <c r="J54" s="215"/>
      <c r="K54" s="215"/>
      <c r="L54" s="215"/>
      <c r="M54" s="215"/>
      <c r="N54" s="215"/>
      <c r="O54" s="215"/>
      <c r="P54" s="215"/>
      <c r="Q54" s="215"/>
      <c r="R54" s="215"/>
    </row>
    <row r="55" spans="1:22" x14ac:dyDescent="0.2">
      <c r="A55" s="33">
        <v>2</v>
      </c>
      <c r="B55" s="33">
        <v>0</v>
      </c>
      <c r="C55" s="33">
        <v>3</v>
      </c>
      <c r="D55" s="33"/>
      <c r="E55" s="33"/>
      <c r="F55" s="31" t="s">
        <v>77</v>
      </c>
      <c r="G55" s="214">
        <f>+G56</f>
        <v>26000000</v>
      </c>
      <c r="H55" s="214"/>
      <c r="I55" s="214">
        <f>+I56</f>
        <v>0</v>
      </c>
      <c r="J55" s="214">
        <f>+J56</f>
        <v>12367000</v>
      </c>
      <c r="K55" s="214">
        <f>+K56</f>
        <v>0</v>
      </c>
      <c r="L55" s="214">
        <f>+L56</f>
        <v>0</v>
      </c>
      <c r="M55" s="216">
        <f>+G55-I55+J55-L55+K55</f>
        <v>38367000</v>
      </c>
      <c r="N55" s="215"/>
      <c r="O55" s="213">
        <f>+O56</f>
        <v>36372000</v>
      </c>
      <c r="P55" s="213">
        <f>+P56</f>
        <v>36372000</v>
      </c>
      <c r="Q55" s="213">
        <f>+Q56</f>
        <v>36372000</v>
      </c>
      <c r="R55" s="213">
        <f>+R56</f>
        <v>36372000</v>
      </c>
    </row>
    <row r="56" spans="1:22" s="166" customFormat="1" x14ac:dyDescent="0.2">
      <c r="A56" s="96">
        <v>2</v>
      </c>
      <c r="B56" s="96">
        <v>0</v>
      </c>
      <c r="C56" s="96">
        <v>3</v>
      </c>
      <c r="D56" s="96">
        <v>50</v>
      </c>
      <c r="E56" s="96"/>
      <c r="F56" s="22" t="s">
        <v>63</v>
      </c>
      <c r="G56" s="219">
        <v>26000000</v>
      </c>
      <c r="H56" s="219"/>
      <c r="I56" s="217"/>
      <c r="J56" s="217">
        <v>12367000</v>
      </c>
      <c r="K56" s="217"/>
      <c r="L56" s="217"/>
      <c r="M56" s="217">
        <f>+G56-I56+J56-L56+K56</f>
        <v>38367000</v>
      </c>
      <c r="N56" s="217"/>
      <c r="O56" s="219">
        <v>36372000</v>
      </c>
      <c r="P56" s="219">
        <v>36372000</v>
      </c>
      <c r="Q56" s="219">
        <v>36372000</v>
      </c>
      <c r="R56" s="219">
        <v>36372000</v>
      </c>
      <c r="S56" s="59"/>
      <c r="T56" s="274"/>
      <c r="U56" s="278"/>
      <c r="V56" s="278"/>
    </row>
    <row r="57" spans="1:22" s="166" customFormat="1" x14ac:dyDescent="0.2">
      <c r="A57" s="96"/>
      <c r="B57" s="96"/>
      <c r="C57" s="96"/>
      <c r="D57" s="96"/>
      <c r="E57" s="96"/>
      <c r="F57" s="22"/>
      <c r="G57" s="219"/>
      <c r="H57" s="219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59"/>
      <c r="T57" s="274"/>
      <c r="U57" s="278"/>
      <c r="V57" s="278"/>
    </row>
    <row r="58" spans="1:22" s="166" customFormat="1" ht="15" customHeight="1" x14ac:dyDescent="0.2">
      <c r="A58" s="33">
        <v>2</v>
      </c>
      <c r="B58" s="33">
        <v>0</v>
      </c>
      <c r="C58" s="33">
        <v>4</v>
      </c>
      <c r="D58" s="33"/>
      <c r="E58" s="33"/>
      <c r="F58" s="31" t="s">
        <v>34</v>
      </c>
      <c r="G58" s="214">
        <f>SUM(G60:G73)</f>
        <v>2095198464</v>
      </c>
      <c r="H58" s="214"/>
      <c r="I58" s="214">
        <f>SUM(I60:I73)</f>
        <v>97567000</v>
      </c>
      <c r="J58" s="214">
        <f>SUM(J60:J73)</f>
        <v>85200000</v>
      </c>
      <c r="K58" s="214">
        <f>SUM(K60:K73)</f>
        <v>0</v>
      </c>
      <c r="L58" s="214">
        <f>SUM(L60:L73)</f>
        <v>0</v>
      </c>
      <c r="M58" s="216">
        <f>+G58-I58+J58-L58+K58</f>
        <v>2082831464</v>
      </c>
      <c r="N58" s="215"/>
      <c r="O58" s="213">
        <f>SUM(O60:O73)</f>
        <v>1836650480</v>
      </c>
      <c r="P58" s="213">
        <f>SUM(P60:P73)</f>
        <v>1836650480</v>
      </c>
      <c r="Q58" s="213">
        <f>SUM(Q60:Q73)</f>
        <v>1836650480</v>
      </c>
      <c r="R58" s="213">
        <f>SUM(R60:R73)</f>
        <v>1836650480</v>
      </c>
      <c r="S58" s="59"/>
      <c r="T58" s="274"/>
      <c r="U58" s="278"/>
      <c r="V58" s="278"/>
    </row>
    <row r="59" spans="1:22" s="166" customFormat="1" ht="15" customHeight="1" x14ac:dyDescent="0.2">
      <c r="A59" s="33"/>
      <c r="B59" s="33"/>
      <c r="C59" s="33"/>
      <c r="D59" s="33"/>
      <c r="E59" s="33"/>
      <c r="F59" s="31"/>
      <c r="G59" s="214"/>
      <c r="H59" s="214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59"/>
      <c r="T59" s="274"/>
      <c r="U59" s="278"/>
      <c r="V59" s="278"/>
    </row>
    <row r="60" spans="1:22" s="166" customFormat="1" ht="15" customHeight="1" x14ac:dyDescent="0.2">
      <c r="A60" s="96">
        <v>2</v>
      </c>
      <c r="B60" s="96">
        <v>0</v>
      </c>
      <c r="C60" s="96">
        <v>4</v>
      </c>
      <c r="D60" s="96">
        <v>1</v>
      </c>
      <c r="E60" s="33"/>
      <c r="F60" s="22" t="s">
        <v>80</v>
      </c>
      <c r="G60" s="219">
        <f>16540000+2000000</f>
        <v>18540000</v>
      </c>
      <c r="H60" s="219"/>
      <c r="I60" s="215"/>
      <c r="J60" s="215"/>
      <c r="K60" s="215"/>
      <c r="L60" s="215"/>
      <c r="M60" s="217">
        <f t="shared" ref="M60:M69" si="4">+G60-I60+J60-L60+K60</f>
        <v>18540000</v>
      </c>
      <c r="N60" s="215"/>
      <c r="O60" s="284">
        <v>12278562</v>
      </c>
      <c r="P60" s="284">
        <v>12278562</v>
      </c>
      <c r="Q60" s="284">
        <v>12278562</v>
      </c>
      <c r="R60" s="284">
        <v>12278562</v>
      </c>
      <c r="S60" s="59"/>
      <c r="T60" s="274"/>
      <c r="U60" s="278"/>
      <c r="V60" s="278"/>
    </row>
    <row r="61" spans="1:22" s="166" customFormat="1" ht="15" customHeight="1" x14ac:dyDescent="0.2">
      <c r="A61" s="96">
        <v>2</v>
      </c>
      <c r="B61" s="96">
        <v>0</v>
      </c>
      <c r="C61" s="96">
        <v>4</v>
      </c>
      <c r="D61" s="96">
        <v>2</v>
      </c>
      <c r="E61" s="33"/>
      <c r="F61" s="22" t="s">
        <v>82</v>
      </c>
      <c r="G61" s="219">
        <v>20900000</v>
      </c>
      <c r="H61" s="219"/>
      <c r="I61" s="215"/>
      <c r="J61" s="215"/>
      <c r="K61" s="215"/>
      <c r="L61" s="215"/>
      <c r="M61" s="217">
        <f t="shared" si="4"/>
        <v>20900000</v>
      </c>
      <c r="N61" s="215"/>
      <c r="O61" s="219">
        <v>7449760</v>
      </c>
      <c r="P61" s="219">
        <v>7449760</v>
      </c>
      <c r="Q61" s="219">
        <v>7449760</v>
      </c>
      <c r="R61" s="219">
        <v>7449760</v>
      </c>
      <c r="S61" s="59"/>
      <c r="T61" s="274"/>
      <c r="U61" s="278"/>
      <c r="V61" s="278"/>
    </row>
    <row r="62" spans="1:22" s="166" customFormat="1" ht="15" customHeight="1" x14ac:dyDescent="0.2">
      <c r="A62" s="96">
        <v>2</v>
      </c>
      <c r="B62" s="96">
        <v>0</v>
      </c>
      <c r="C62" s="96">
        <v>4</v>
      </c>
      <c r="D62" s="96">
        <v>4</v>
      </c>
      <c r="E62" s="33"/>
      <c r="F62" s="22" t="s">
        <v>35</v>
      </c>
      <c r="G62" s="219">
        <f>12898847+15920000+45000000+9227790</f>
        <v>83046637</v>
      </c>
      <c r="H62" s="219"/>
      <c r="I62" s="215"/>
      <c r="J62" s="215"/>
      <c r="K62" s="215"/>
      <c r="L62" s="215"/>
      <c r="M62" s="217">
        <f t="shared" si="4"/>
        <v>83046637</v>
      </c>
      <c r="N62" s="215"/>
      <c r="O62" s="284">
        <v>66698675</v>
      </c>
      <c r="P62" s="284">
        <v>66698675</v>
      </c>
      <c r="Q62" s="284">
        <v>66698675</v>
      </c>
      <c r="R62" s="284">
        <v>66698675</v>
      </c>
      <c r="S62" s="59"/>
      <c r="T62" s="274"/>
      <c r="U62" s="278"/>
      <c r="V62" s="278"/>
    </row>
    <row r="63" spans="1:22" s="166" customFormat="1" ht="15" customHeight="1" x14ac:dyDescent="0.2">
      <c r="A63" s="96">
        <v>2</v>
      </c>
      <c r="B63" s="96">
        <v>0</v>
      </c>
      <c r="C63" s="96">
        <v>4</v>
      </c>
      <c r="D63" s="96">
        <v>5</v>
      </c>
      <c r="E63" s="33"/>
      <c r="F63" s="22" t="s">
        <v>36</v>
      </c>
      <c r="G63" s="219">
        <f>17000000+22660000+241565000+12000000+139050000+143900000+192750000</f>
        <v>768925000</v>
      </c>
      <c r="H63" s="219"/>
      <c r="I63" s="220">
        <f>12367000+9128700</f>
        <v>21495700</v>
      </c>
      <c r="J63" s="215"/>
      <c r="K63" s="215"/>
      <c r="L63" s="215"/>
      <c r="M63" s="217">
        <f t="shared" si="4"/>
        <v>747429300</v>
      </c>
      <c r="N63" s="215"/>
      <c r="O63" s="280">
        <v>665479304</v>
      </c>
      <c r="P63" s="280">
        <v>665479304</v>
      </c>
      <c r="Q63" s="280">
        <v>665479304</v>
      </c>
      <c r="R63" s="280">
        <v>665479304</v>
      </c>
      <c r="S63" s="59"/>
      <c r="T63" s="274"/>
      <c r="U63" s="278"/>
      <c r="V63" s="278"/>
    </row>
    <row r="64" spans="1:22" s="166" customFormat="1" ht="15" customHeight="1" x14ac:dyDescent="0.2">
      <c r="A64" s="96">
        <v>2</v>
      </c>
      <c r="B64" s="96">
        <v>0</v>
      </c>
      <c r="C64" s="96">
        <v>4</v>
      </c>
      <c r="D64" s="96">
        <v>6</v>
      </c>
      <c r="E64" s="33"/>
      <c r="F64" s="22" t="s">
        <v>37</v>
      </c>
      <c r="G64" s="219">
        <f>130000000+61513951</f>
        <v>191513951</v>
      </c>
      <c r="H64" s="219"/>
      <c r="I64" s="220">
        <v>20000000</v>
      </c>
      <c r="J64" s="215">
        <v>0</v>
      </c>
      <c r="K64" s="215"/>
      <c r="L64" s="215"/>
      <c r="M64" s="217">
        <f t="shared" si="4"/>
        <v>171513951</v>
      </c>
      <c r="N64" s="215"/>
      <c r="O64" s="219">
        <v>138256505</v>
      </c>
      <c r="P64" s="219">
        <v>138256505</v>
      </c>
      <c r="Q64" s="219">
        <v>138256505</v>
      </c>
      <c r="R64" s="219">
        <v>138256505</v>
      </c>
      <c r="S64" s="59"/>
      <c r="T64" s="274"/>
      <c r="U64" s="279"/>
      <c r="V64" s="278"/>
    </row>
    <row r="65" spans="1:22" s="166" customFormat="1" ht="15" customHeight="1" x14ac:dyDescent="0.2">
      <c r="A65" s="96">
        <v>2</v>
      </c>
      <c r="B65" s="96">
        <v>0</v>
      </c>
      <c r="C65" s="96">
        <v>4</v>
      </c>
      <c r="D65" s="96">
        <v>7</v>
      </c>
      <c r="E65" s="33"/>
      <c r="F65" s="22" t="s">
        <v>38</v>
      </c>
      <c r="G65" s="219">
        <f>9000000+12630000</f>
        <v>21630000</v>
      </c>
      <c r="H65" s="219"/>
      <c r="I65" s="220">
        <f>6500000+4371300</f>
        <v>10871300</v>
      </c>
      <c r="J65" s="215"/>
      <c r="K65" s="215"/>
      <c r="L65" s="215"/>
      <c r="M65" s="217">
        <f t="shared" si="4"/>
        <v>10758700</v>
      </c>
      <c r="N65" s="215"/>
      <c r="O65" s="219">
        <v>10226700</v>
      </c>
      <c r="P65" s="219">
        <v>10226700</v>
      </c>
      <c r="Q65" s="219">
        <v>10226700</v>
      </c>
      <c r="R65" s="219">
        <v>10226700</v>
      </c>
      <c r="S65" s="59"/>
      <c r="T65" s="274"/>
      <c r="U65" s="278"/>
      <c r="V65" s="278"/>
    </row>
    <row r="66" spans="1:22" s="166" customFormat="1" ht="15" customHeight="1" x14ac:dyDescent="0.2">
      <c r="A66" s="96">
        <v>2</v>
      </c>
      <c r="B66" s="96">
        <v>0</v>
      </c>
      <c r="C66" s="96">
        <v>4</v>
      </c>
      <c r="D66" s="96">
        <v>8</v>
      </c>
      <c r="E66" s="33"/>
      <c r="F66" s="22" t="s">
        <v>39</v>
      </c>
      <c r="G66" s="219">
        <f>113300000+18540000+123600000+62728309</f>
        <v>318168309</v>
      </c>
      <c r="H66" s="219"/>
      <c r="I66" s="220">
        <v>30000000</v>
      </c>
      <c r="J66" s="215"/>
      <c r="K66" s="215"/>
      <c r="L66" s="215"/>
      <c r="M66" s="217">
        <f t="shared" si="4"/>
        <v>288168309</v>
      </c>
      <c r="N66" s="215"/>
      <c r="O66" s="219">
        <v>259388436</v>
      </c>
      <c r="P66" s="219">
        <v>259388436</v>
      </c>
      <c r="Q66" s="219">
        <v>259388436</v>
      </c>
      <c r="R66" s="219">
        <v>259388436</v>
      </c>
      <c r="S66" s="59"/>
      <c r="T66" s="274"/>
      <c r="U66" s="278"/>
      <c r="V66" s="278"/>
    </row>
    <row r="67" spans="1:22" ht="15" customHeight="1" x14ac:dyDescent="0.2">
      <c r="A67" s="96">
        <v>2</v>
      </c>
      <c r="B67" s="96">
        <v>0</v>
      </c>
      <c r="C67" s="96">
        <v>4</v>
      </c>
      <c r="D67" s="96">
        <v>9</v>
      </c>
      <c r="E67" s="33"/>
      <c r="F67" s="22" t="s">
        <v>40</v>
      </c>
      <c r="G67" s="219">
        <v>41200000</v>
      </c>
      <c r="H67" s="219"/>
      <c r="I67" s="220"/>
      <c r="J67" s="220">
        <v>200000</v>
      </c>
      <c r="K67" s="215"/>
      <c r="L67" s="215"/>
      <c r="M67" s="217">
        <f t="shared" si="4"/>
        <v>41400000</v>
      </c>
      <c r="N67" s="215"/>
      <c r="O67" s="219">
        <v>41379063</v>
      </c>
      <c r="P67" s="219">
        <v>41379063</v>
      </c>
      <c r="Q67" s="219">
        <v>41379063</v>
      </c>
      <c r="R67" s="219">
        <v>41379063</v>
      </c>
      <c r="U67" s="293"/>
      <c r="V67" s="294"/>
    </row>
    <row r="68" spans="1:22" ht="15" customHeight="1" x14ac:dyDescent="0.2">
      <c r="A68" s="96">
        <v>2</v>
      </c>
      <c r="B68" s="96">
        <v>0</v>
      </c>
      <c r="C68" s="96">
        <v>4</v>
      </c>
      <c r="D68" s="96">
        <v>11</v>
      </c>
      <c r="E68" s="33"/>
      <c r="F68" s="22" t="s">
        <v>41</v>
      </c>
      <c r="G68" s="219">
        <v>226600000</v>
      </c>
      <c r="H68" s="219"/>
      <c r="I68" s="220">
        <v>0</v>
      </c>
      <c r="J68" s="220">
        <f>20000000+15000000+30000000</f>
        <v>65000000</v>
      </c>
      <c r="K68" s="215"/>
      <c r="L68" s="215"/>
      <c r="M68" s="217">
        <f t="shared" si="4"/>
        <v>291600000</v>
      </c>
      <c r="N68" s="215"/>
      <c r="O68" s="217">
        <v>267635999</v>
      </c>
      <c r="P68" s="217">
        <v>267635999</v>
      </c>
      <c r="Q68" s="217">
        <v>267635999</v>
      </c>
      <c r="R68" s="217">
        <v>267635999</v>
      </c>
    </row>
    <row r="69" spans="1:22" s="166" customFormat="1" ht="15" customHeight="1" x14ac:dyDescent="0.2">
      <c r="A69" s="96">
        <v>2</v>
      </c>
      <c r="B69" s="96">
        <v>0</v>
      </c>
      <c r="C69" s="96">
        <v>4</v>
      </c>
      <c r="D69" s="96">
        <v>14</v>
      </c>
      <c r="E69" s="96"/>
      <c r="F69" s="22" t="s">
        <v>83</v>
      </c>
      <c r="G69" s="219">
        <v>46350000</v>
      </c>
      <c r="H69" s="219"/>
      <c r="I69" s="215"/>
      <c r="J69" s="215"/>
      <c r="K69" s="215"/>
      <c r="L69" s="215"/>
      <c r="M69" s="217">
        <f t="shared" si="4"/>
        <v>46350000</v>
      </c>
      <c r="N69" s="215"/>
      <c r="O69" s="219">
        <v>28305111</v>
      </c>
      <c r="P69" s="219">
        <v>28305111</v>
      </c>
      <c r="Q69" s="219">
        <v>28305111</v>
      </c>
      <c r="R69" s="219">
        <v>28305111</v>
      </c>
      <c r="S69" s="59"/>
      <c r="T69" s="274"/>
      <c r="U69" s="278"/>
      <c r="V69" s="278"/>
    </row>
    <row r="70" spans="1:22" s="166" customFormat="1" ht="15" customHeight="1" x14ac:dyDescent="0.2">
      <c r="A70" s="96">
        <v>2</v>
      </c>
      <c r="B70" s="96">
        <v>0</v>
      </c>
      <c r="C70" s="96">
        <v>4</v>
      </c>
      <c r="D70" s="96">
        <v>17</v>
      </c>
      <c r="E70" s="96"/>
      <c r="F70" s="22" t="s">
        <v>43</v>
      </c>
      <c r="G70" s="219">
        <v>0</v>
      </c>
      <c r="H70" s="219"/>
      <c r="I70" s="215"/>
      <c r="J70" s="215"/>
      <c r="K70" s="215"/>
      <c r="L70" s="215"/>
      <c r="M70" s="219">
        <f>+G70+I70-J70+L70-K70</f>
        <v>0</v>
      </c>
      <c r="N70" s="215"/>
      <c r="O70" s="219"/>
      <c r="P70" s="219"/>
      <c r="Q70" s="219"/>
      <c r="R70" s="219"/>
      <c r="S70" s="59"/>
      <c r="T70" s="274"/>
      <c r="U70" s="278"/>
      <c r="V70" s="278"/>
    </row>
    <row r="71" spans="1:22" ht="15" customHeight="1" x14ac:dyDescent="0.2">
      <c r="A71" s="96">
        <v>2</v>
      </c>
      <c r="B71" s="96">
        <v>0</v>
      </c>
      <c r="C71" s="96">
        <v>4</v>
      </c>
      <c r="D71" s="96">
        <v>21</v>
      </c>
      <c r="E71" s="33"/>
      <c r="F71" s="101" t="s">
        <v>64</v>
      </c>
      <c r="G71" s="219">
        <f>60000000+63000000</f>
        <v>123000000</v>
      </c>
      <c r="H71" s="219"/>
      <c r="I71" s="215"/>
      <c r="J71" s="220">
        <f>10720000+9280000</f>
        <v>20000000</v>
      </c>
      <c r="K71" s="215"/>
      <c r="L71" s="215"/>
      <c r="M71" s="217">
        <f>+G71-I71+J71-L71+K71</f>
        <v>143000000</v>
      </c>
      <c r="N71" s="215"/>
      <c r="O71" s="284">
        <v>138832233</v>
      </c>
      <c r="P71" s="284">
        <v>138832233</v>
      </c>
      <c r="Q71" s="284">
        <v>138832233</v>
      </c>
      <c r="R71" s="284">
        <v>138832233</v>
      </c>
    </row>
    <row r="72" spans="1:22" ht="15" customHeight="1" x14ac:dyDescent="0.2">
      <c r="A72" s="96">
        <v>2</v>
      </c>
      <c r="B72" s="96">
        <v>0</v>
      </c>
      <c r="C72" s="96">
        <v>4</v>
      </c>
      <c r="D72" s="96">
        <v>40</v>
      </c>
      <c r="E72" s="33"/>
      <c r="F72" s="22" t="s">
        <v>44</v>
      </c>
      <c r="G72" s="219">
        <v>4000000</v>
      </c>
      <c r="H72" s="219"/>
      <c r="I72" s="215"/>
      <c r="J72" s="220"/>
      <c r="K72" s="215"/>
      <c r="L72" s="215"/>
      <c r="M72" s="217">
        <f>+G72-I72+J72-L72+K72</f>
        <v>4000000</v>
      </c>
      <c r="N72" s="216"/>
      <c r="O72" s="219">
        <v>1114760</v>
      </c>
      <c r="P72" s="219">
        <v>1114760</v>
      </c>
      <c r="Q72" s="219">
        <v>1114760</v>
      </c>
      <c r="R72" s="219">
        <v>1114760</v>
      </c>
    </row>
    <row r="73" spans="1:22" ht="15" customHeight="1" x14ac:dyDescent="0.2">
      <c r="A73" s="96">
        <v>2</v>
      </c>
      <c r="B73" s="96">
        <v>0</v>
      </c>
      <c r="C73" s="96">
        <v>4</v>
      </c>
      <c r="D73" s="96">
        <v>41</v>
      </c>
      <c r="E73" s="96"/>
      <c r="F73" s="22" t="s">
        <v>45</v>
      </c>
      <c r="G73" s="219">
        <v>231324567</v>
      </c>
      <c r="H73" s="219"/>
      <c r="I73" s="217">
        <v>15200000</v>
      </c>
      <c r="J73" s="217"/>
      <c r="K73" s="217"/>
      <c r="L73" s="217"/>
      <c r="M73" s="217">
        <f>+G73-I73+J73-L73+K73</f>
        <v>216124567</v>
      </c>
      <c r="N73" s="217"/>
      <c r="O73" s="219">
        <v>199605372</v>
      </c>
      <c r="P73" s="219">
        <v>199605372</v>
      </c>
      <c r="Q73" s="219">
        <v>199605372</v>
      </c>
      <c r="R73" s="219">
        <v>199605372</v>
      </c>
    </row>
    <row r="74" spans="1:22" ht="15" customHeight="1" x14ac:dyDescent="0.2">
      <c r="A74" s="219"/>
      <c r="B74" s="219"/>
      <c r="C74" s="219"/>
      <c r="D74" s="219"/>
      <c r="E74" s="219"/>
      <c r="F74" s="219"/>
      <c r="G74" s="219"/>
      <c r="H74" s="219"/>
      <c r="I74" s="219"/>
      <c r="J74" s="219"/>
      <c r="K74" s="219"/>
      <c r="L74" s="219"/>
      <c r="M74" s="219"/>
      <c r="N74" s="219"/>
      <c r="O74" s="219"/>
      <c r="P74" s="219"/>
      <c r="Q74" s="219"/>
      <c r="R74" s="219"/>
    </row>
    <row r="75" spans="1:22" ht="15" customHeight="1" x14ac:dyDescent="0.2">
      <c r="A75" s="65">
        <v>3</v>
      </c>
      <c r="B75" s="41"/>
      <c r="C75" s="41"/>
      <c r="D75" s="41"/>
      <c r="E75" s="41"/>
      <c r="F75" s="66" t="s">
        <v>73</v>
      </c>
      <c r="G75" s="221">
        <f>+G76+G78</f>
        <v>234285849</v>
      </c>
      <c r="H75" s="219"/>
      <c r="I75" s="221">
        <f>+I76+I78</f>
        <v>0</v>
      </c>
      <c r="J75" s="221">
        <f>+J76+J78</f>
        <v>0</v>
      </c>
      <c r="K75" s="221">
        <f>+K76+K78</f>
        <v>0</v>
      </c>
      <c r="L75" s="221">
        <f>+L76+L78</f>
        <v>0</v>
      </c>
      <c r="M75" s="216">
        <f>+G75-I75+J75-L75+K75</f>
        <v>234285849</v>
      </c>
      <c r="N75" s="219"/>
      <c r="O75" s="221">
        <f>+O76+O78</f>
        <v>16708899</v>
      </c>
      <c r="P75" s="221">
        <f t="shared" ref="P75:R75" si="5">+P76+P78</f>
        <v>16708899</v>
      </c>
      <c r="Q75" s="221">
        <f t="shared" si="5"/>
        <v>16708899</v>
      </c>
      <c r="R75" s="221">
        <f t="shared" si="5"/>
        <v>16708899</v>
      </c>
    </row>
    <row r="76" spans="1:22" ht="15" customHeight="1" x14ac:dyDescent="0.2">
      <c r="A76" s="22">
        <v>3</v>
      </c>
      <c r="B76" s="22">
        <v>2</v>
      </c>
      <c r="C76" s="22">
        <v>1</v>
      </c>
      <c r="D76" s="22">
        <v>1</v>
      </c>
      <c r="E76" s="22">
        <v>20</v>
      </c>
      <c r="F76" s="22" t="s">
        <v>74</v>
      </c>
      <c r="G76" s="219">
        <v>20455849</v>
      </c>
      <c r="H76" s="219"/>
      <c r="I76" s="219"/>
      <c r="J76" s="219"/>
      <c r="K76" s="219"/>
      <c r="L76" s="219"/>
      <c r="M76" s="217">
        <f>+G76-I76+J76-L76+K76</f>
        <v>20455849</v>
      </c>
      <c r="N76" s="219"/>
      <c r="O76" s="219">
        <v>16708899</v>
      </c>
      <c r="P76" s="219">
        <v>16708899</v>
      </c>
      <c r="Q76" s="219">
        <v>16708899</v>
      </c>
      <c r="R76" s="219">
        <v>16708899</v>
      </c>
    </row>
    <row r="77" spans="1:22" ht="15" customHeight="1" x14ac:dyDescent="0.2">
      <c r="A77" s="22"/>
      <c r="B77" s="22"/>
      <c r="C77" s="22"/>
      <c r="D77" s="22"/>
      <c r="E77" s="22"/>
      <c r="F77" s="22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</row>
    <row r="78" spans="1:22" ht="15" customHeight="1" x14ac:dyDescent="0.2">
      <c r="A78" s="22">
        <v>3</v>
      </c>
      <c r="B78" s="22">
        <v>6</v>
      </c>
      <c r="C78" s="22">
        <v>1</v>
      </c>
      <c r="D78" s="22">
        <v>1</v>
      </c>
      <c r="E78" s="22">
        <v>20</v>
      </c>
      <c r="F78" s="22" t="s">
        <v>75</v>
      </c>
      <c r="G78" s="219">
        <v>213830000</v>
      </c>
      <c r="H78" s="219"/>
      <c r="I78" s="219"/>
      <c r="J78" s="219"/>
      <c r="K78" s="219"/>
      <c r="L78" s="219"/>
      <c r="M78" s="217">
        <f>+G78-I78+J78-L78+K78</f>
        <v>213830000</v>
      </c>
      <c r="N78" s="219"/>
      <c r="O78" s="219"/>
      <c r="P78" s="219"/>
      <c r="Q78" s="219"/>
      <c r="R78" s="219"/>
    </row>
    <row r="79" spans="1:22" ht="15" customHeight="1" x14ac:dyDescent="0.2">
      <c r="A79" s="219"/>
      <c r="B79" s="219"/>
      <c r="C79" s="219"/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</row>
    <row r="80" spans="1:22" ht="15" customHeight="1" x14ac:dyDescent="0.2">
      <c r="A80" s="219"/>
      <c r="B80" s="219"/>
      <c r="C80" s="219"/>
      <c r="D80" s="219"/>
      <c r="E80" s="219"/>
      <c r="F80" s="222" t="s">
        <v>76</v>
      </c>
      <c r="G80" s="214">
        <f>SUM(G82:G86)</f>
        <v>4041000000</v>
      </c>
      <c r="H80" s="219"/>
      <c r="I80" s="214">
        <f>SUM(I82:I86)</f>
        <v>0</v>
      </c>
      <c r="J80" s="214">
        <f>SUM(J82:J86)</f>
        <v>0</v>
      </c>
      <c r="K80" s="214">
        <f>SUM(K82:K86)</f>
        <v>0</v>
      </c>
      <c r="L80" s="214">
        <f>SUM(L82:L86)</f>
        <v>0</v>
      </c>
      <c r="M80" s="216">
        <f>+G80-I80+J80-L80+K80</f>
        <v>4041000000</v>
      </c>
      <c r="N80" s="219"/>
      <c r="O80" s="213">
        <f>SUM(O82:O86)</f>
        <v>3647032681</v>
      </c>
      <c r="P80" s="213">
        <f>SUM(P82:P86)</f>
        <v>3647032681</v>
      </c>
      <c r="Q80" s="213">
        <f>SUM(Q82:Q86)</f>
        <v>3557882302</v>
      </c>
      <c r="R80" s="213">
        <f>SUM(R82:R86)</f>
        <v>3557882302</v>
      </c>
    </row>
    <row r="81" spans="1:18" ht="15" customHeight="1" x14ac:dyDescent="0.2">
      <c r="A81" s="219"/>
      <c r="B81" s="219"/>
      <c r="C81" s="219"/>
      <c r="D81" s="219"/>
      <c r="E81" s="219"/>
      <c r="F81" s="219"/>
      <c r="G81" s="219"/>
      <c r="H81" s="219"/>
      <c r="I81" s="219"/>
      <c r="J81" s="219"/>
      <c r="K81" s="219"/>
      <c r="L81" s="219"/>
      <c r="M81" s="219"/>
      <c r="N81" s="219"/>
      <c r="O81" s="219"/>
      <c r="P81" s="219"/>
      <c r="Q81" s="219"/>
      <c r="R81" s="219"/>
    </row>
    <row r="82" spans="1:18" ht="45" customHeight="1" x14ac:dyDescent="0.2">
      <c r="A82" s="219">
        <v>123</v>
      </c>
      <c r="B82" s="223">
        <v>1000</v>
      </c>
      <c r="C82" s="219">
        <v>1</v>
      </c>
      <c r="D82" s="219"/>
      <c r="E82" s="219">
        <v>20</v>
      </c>
      <c r="F82" s="224" t="s">
        <v>78</v>
      </c>
      <c r="G82" s="219">
        <v>537000000</v>
      </c>
      <c r="H82" s="219"/>
      <c r="I82" s="219"/>
      <c r="J82" s="219"/>
      <c r="K82" s="219"/>
      <c r="L82" s="219"/>
      <c r="M82" s="217">
        <f>+G82-I82+J82-L82+K82</f>
        <v>537000000</v>
      </c>
      <c r="N82" s="219"/>
      <c r="O82" s="219">
        <v>531903686</v>
      </c>
      <c r="P82" s="219">
        <v>531903686</v>
      </c>
      <c r="Q82" s="219">
        <v>531903686</v>
      </c>
      <c r="R82" s="219">
        <v>531903686</v>
      </c>
    </row>
    <row r="83" spans="1:18" ht="42" customHeight="1" x14ac:dyDescent="0.2">
      <c r="A83" s="219">
        <v>510</v>
      </c>
      <c r="B83" s="223">
        <v>1000</v>
      </c>
      <c r="C83" s="219">
        <v>2</v>
      </c>
      <c r="D83" s="219"/>
      <c r="E83" s="219">
        <v>20</v>
      </c>
      <c r="F83" s="224" t="s">
        <v>84</v>
      </c>
      <c r="G83" s="219">
        <v>109000000</v>
      </c>
      <c r="H83" s="219"/>
      <c r="I83" s="219"/>
      <c r="J83" s="219"/>
      <c r="K83" s="219"/>
      <c r="L83" s="219"/>
      <c r="M83" s="217">
        <f>+G83-I83+J83-L83+K83</f>
        <v>109000000</v>
      </c>
      <c r="N83" s="219"/>
      <c r="O83" s="219">
        <v>37251000</v>
      </c>
      <c r="P83" s="219">
        <v>37251000</v>
      </c>
      <c r="Q83" s="219">
        <v>37251000</v>
      </c>
      <c r="R83" s="219">
        <v>37251000</v>
      </c>
    </row>
    <row r="84" spans="1:18" ht="42.75" customHeight="1" x14ac:dyDescent="0.2">
      <c r="A84" s="219">
        <v>520</v>
      </c>
      <c r="B84" s="223">
        <v>1000</v>
      </c>
      <c r="C84" s="219">
        <v>5</v>
      </c>
      <c r="D84" s="219"/>
      <c r="E84" s="219">
        <v>20</v>
      </c>
      <c r="F84" s="224" t="s">
        <v>79</v>
      </c>
      <c r="G84" s="219">
        <v>1104000000</v>
      </c>
      <c r="H84" s="219"/>
      <c r="I84" s="219"/>
      <c r="J84" s="219"/>
      <c r="K84" s="219"/>
      <c r="L84" s="219"/>
      <c r="M84" s="217">
        <f>+G84-I84+J84-L84+K84</f>
        <v>1104000000</v>
      </c>
      <c r="N84" s="219"/>
      <c r="O84" s="219">
        <v>1011149357</v>
      </c>
      <c r="P84" s="219">
        <v>1011149357</v>
      </c>
      <c r="Q84" s="219">
        <v>1011149357</v>
      </c>
      <c r="R84" s="219">
        <v>1011149357</v>
      </c>
    </row>
    <row r="85" spans="1:18" ht="42.75" customHeight="1" x14ac:dyDescent="0.2">
      <c r="A85" s="219">
        <v>520</v>
      </c>
      <c r="B85" s="223">
        <v>1700</v>
      </c>
      <c r="C85" s="219">
        <v>1</v>
      </c>
      <c r="D85" s="219"/>
      <c r="E85" s="219">
        <v>20</v>
      </c>
      <c r="F85" s="224" t="s">
        <v>88</v>
      </c>
      <c r="G85" s="219">
        <v>17000000</v>
      </c>
      <c r="H85" s="219"/>
      <c r="I85" s="219"/>
      <c r="J85" s="219"/>
      <c r="K85" s="219"/>
      <c r="L85" s="219"/>
      <c r="M85" s="217">
        <f>+G85-I85+J85-L85+K85</f>
        <v>17000000</v>
      </c>
      <c r="N85" s="219"/>
      <c r="O85" s="219"/>
      <c r="P85" s="219"/>
      <c r="Q85" s="219"/>
      <c r="R85" s="219"/>
    </row>
    <row r="86" spans="1:18" ht="54.75" customHeight="1" thickBot="1" x14ac:dyDescent="0.25">
      <c r="A86" s="219">
        <v>520</v>
      </c>
      <c r="B86" s="223">
        <v>1700</v>
      </c>
      <c r="C86" s="219">
        <v>2</v>
      </c>
      <c r="D86" s="219"/>
      <c r="E86" s="219"/>
      <c r="F86" s="224" t="s">
        <v>89</v>
      </c>
      <c r="G86" s="219">
        <v>2274000000</v>
      </c>
      <c r="H86" s="219"/>
      <c r="I86" s="219"/>
      <c r="J86" s="219"/>
      <c r="K86" s="219">
        <v>0</v>
      </c>
      <c r="L86" s="219">
        <v>0</v>
      </c>
      <c r="M86" s="217">
        <f>+G86-I86+J86+L86-K86</f>
        <v>2274000000</v>
      </c>
      <c r="N86" s="219"/>
      <c r="O86" s="219">
        <v>2066728638</v>
      </c>
      <c r="P86" s="219">
        <v>2066728638</v>
      </c>
      <c r="Q86" s="219">
        <v>1977578259</v>
      </c>
      <c r="R86" s="219">
        <v>1977578259</v>
      </c>
    </row>
    <row r="87" spans="1:18" ht="24.75" customHeight="1" x14ac:dyDescent="0.2">
      <c r="A87" s="108"/>
      <c r="B87" s="74"/>
      <c r="C87" s="74"/>
      <c r="D87" s="74"/>
      <c r="E87" s="74"/>
      <c r="F87" s="74"/>
      <c r="G87" s="225"/>
      <c r="H87" s="225"/>
      <c r="I87" s="226"/>
      <c r="J87" s="226"/>
      <c r="K87" s="226"/>
      <c r="L87" s="226"/>
      <c r="M87" s="227"/>
      <c r="N87" s="227"/>
      <c r="O87" s="228"/>
      <c r="P87" s="228"/>
      <c r="Q87" s="228"/>
      <c r="R87" s="229"/>
    </row>
    <row r="88" spans="1:18" x14ac:dyDescent="0.2">
      <c r="A88" s="167"/>
      <c r="B88" s="24"/>
      <c r="C88" s="24"/>
      <c r="D88" s="24"/>
      <c r="E88" s="24"/>
      <c r="F88" s="24"/>
      <c r="G88" s="106"/>
      <c r="H88" s="106"/>
      <c r="I88" s="81"/>
      <c r="J88" s="81"/>
      <c r="K88" s="81"/>
      <c r="L88" s="81"/>
      <c r="M88" s="107"/>
      <c r="N88" s="107"/>
      <c r="O88" s="168"/>
      <c r="P88" s="168"/>
      <c r="Q88" s="168"/>
      <c r="R88" s="169"/>
    </row>
    <row r="89" spans="1:18" x14ac:dyDescent="0.2">
      <c r="A89" s="117"/>
      <c r="B89" s="24"/>
      <c r="C89" s="24"/>
      <c r="D89" s="24"/>
      <c r="E89" s="118" t="s">
        <v>93</v>
      </c>
      <c r="F89" s="24"/>
      <c r="G89" s="106"/>
      <c r="H89" s="106"/>
      <c r="I89" s="81"/>
      <c r="J89" s="81"/>
      <c r="K89" s="81"/>
      <c r="L89" s="81"/>
      <c r="M89" s="118" t="s">
        <v>85</v>
      </c>
      <c r="N89" s="107"/>
      <c r="O89" s="168"/>
      <c r="P89" s="170"/>
      <c r="Q89" s="168"/>
      <c r="R89" s="169"/>
    </row>
    <row r="90" spans="1:18" x14ac:dyDescent="0.2">
      <c r="A90" s="167"/>
      <c r="B90" s="24"/>
      <c r="C90" s="24"/>
      <c r="D90" s="24"/>
      <c r="E90" s="73" t="s">
        <v>94</v>
      </c>
      <c r="F90" s="24"/>
      <c r="G90" s="106"/>
      <c r="H90" s="106"/>
      <c r="I90" s="81"/>
      <c r="J90" s="81"/>
      <c r="K90" s="81"/>
      <c r="L90" s="81"/>
      <c r="M90" s="107" t="s">
        <v>91</v>
      </c>
      <c r="N90" s="107"/>
      <c r="O90" s="168"/>
      <c r="P90" s="171"/>
      <c r="Q90" s="168"/>
      <c r="R90" s="169"/>
    </row>
    <row r="91" spans="1:18" ht="12.75" thickBot="1" x14ac:dyDescent="0.25">
      <c r="A91" s="172"/>
      <c r="B91" s="173"/>
      <c r="C91" s="173"/>
      <c r="D91" s="173"/>
      <c r="E91" s="173"/>
      <c r="F91" s="173"/>
      <c r="G91" s="122"/>
      <c r="H91" s="122"/>
      <c r="I91" s="123"/>
      <c r="J91" s="123"/>
      <c r="K91" s="123"/>
      <c r="L91" s="123"/>
      <c r="M91" s="124" t="s">
        <v>86</v>
      </c>
      <c r="N91" s="124"/>
      <c r="O91" s="174"/>
      <c r="P91" s="174"/>
      <c r="Q91" s="174"/>
      <c r="R91" s="175"/>
    </row>
  </sheetData>
  <mergeCells count="14">
    <mergeCell ref="U67:V67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7"/>
  </sheetPr>
  <dimension ref="A1:Y76"/>
  <sheetViews>
    <sheetView topLeftCell="A46" zoomScale="90" zoomScaleNormal="90" workbookViewId="0">
      <selection activeCell="O5" sqref="O5:R5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5.140625" style="11" customWidth="1"/>
    <col min="7" max="7" width="18.28515625" style="186" bestFit="1" customWidth="1"/>
    <col min="8" max="8" width="1.7109375" style="177" customWidth="1"/>
    <col min="9" max="9" width="14.85546875" style="159" customWidth="1"/>
    <col min="10" max="10" width="15.28515625" style="159" customWidth="1"/>
    <col min="11" max="11" width="14.7109375" style="159" customWidth="1"/>
    <col min="12" max="12" width="9.5703125" style="159" customWidth="1"/>
    <col min="13" max="13" width="18.42578125" style="159" customWidth="1"/>
    <col min="14" max="14" width="2.140625" style="178" customWidth="1"/>
    <col min="15" max="15" width="15.28515625" style="159" customWidth="1"/>
    <col min="16" max="16" width="15.140625" style="159" customWidth="1"/>
    <col min="17" max="17" width="17" style="159" customWidth="1"/>
    <col min="18" max="18" width="17.28515625" style="159" customWidth="1"/>
    <col min="19" max="19" width="14.7109375" style="59" customWidth="1"/>
    <col min="20" max="20" width="10.7109375" style="59" customWidth="1"/>
    <col min="21" max="21" width="15.140625" style="59" customWidth="1"/>
    <col min="22" max="22" width="12.28515625" style="59" bestFit="1" customWidth="1"/>
    <col min="23" max="16384" width="11.5703125" style="11"/>
  </cols>
  <sheetData>
    <row r="1" spans="1:25" x14ac:dyDescent="0.2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5" x14ac:dyDescent="0.2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</row>
    <row r="3" spans="1:25" x14ac:dyDescent="0.2">
      <c r="A3" s="296" t="s">
        <v>65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180"/>
    </row>
    <row r="4" spans="1:25" ht="12.75" thickBot="1" x14ac:dyDescent="0.25">
      <c r="A4" s="76"/>
      <c r="B4" s="76"/>
      <c r="C4" s="76"/>
      <c r="D4" s="76"/>
      <c r="E4" s="76"/>
      <c r="F4" s="68"/>
      <c r="G4" s="202"/>
      <c r="H4" s="197"/>
      <c r="I4" s="198"/>
      <c r="J4" s="198"/>
      <c r="K4" s="199"/>
      <c r="L4" s="199"/>
      <c r="M4" s="198"/>
      <c r="N4" s="200"/>
      <c r="O4" s="198"/>
      <c r="P4" s="198"/>
      <c r="Q4" s="198"/>
      <c r="R4" s="235"/>
      <c r="S4" s="77"/>
      <c r="T4" s="77"/>
    </row>
    <row r="5" spans="1:25" s="165" customFormat="1" ht="23.25" customHeight="1" thickBot="1" x14ac:dyDescent="0.25">
      <c r="A5" s="297" t="s">
        <v>3</v>
      </c>
      <c r="B5" s="297" t="s">
        <v>4</v>
      </c>
      <c r="C5" s="297" t="s">
        <v>5</v>
      </c>
      <c r="D5" s="297" t="s">
        <v>6</v>
      </c>
      <c r="E5" s="297" t="s">
        <v>7</v>
      </c>
      <c r="F5" s="307" t="s">
        <v>8</v>
      </c>
      <c r="G5" s="302" t="s">
        <v>9</v>
      </c>
      <c r="H5" s="203"/>
      <c r="I5" s="304" t="s">
        <v>10</v>
      </c>
      <c r="J5" s="305"/>
      <c r="K5" s="305"/>
      <c r="L5" s="306"/>
      <c r="M5" s="302" t="s">
        <v>13</v>
      </c>
      <c r="N5" s="204"/>
      <c r="O5" s="302" t="s">
        <v>95</v>
      </c>
      <c r="P5" s="302"/>
      <c r="Q5" s="302"/>
      <c r="R5" s="302"/>
      <c r="S5" s="164"/>
      <c r="T5" s="164"/>
      <c r="U5" s="59"/>
      <c r="V5" s="164"/>
    </row>
    <row r="6" spans="1:25" s="165" customFormat="1" ht="24.75" thickBot="1" x14ac:dyDescent="0.25">
      <c r="A6" s="298"/>
      <c r="B6" s="298"/>
      <c r="C6" s="298"/>
      <c r="D6" s="298"/>
      <c r="E6" s="298"/>
      <c r="F6" s="308"/>
      <c r="G6" s="303"/>
      <c r="H6" s="203"/>
      <c r="I6" s="205" t="s">
        <v>14</v>
      </c>
      <c r="J6" s="206" t="s">
        <v>15</v>
      </c>
      <c r="K6" s="207" t="s">
        <v>11</v>
      </c>
      <c r="L6" s="207" t="s">
        <v>12</v>
      </c>
      <c r="M6" s="303"/>
      <c r="N6" s="204"/>
      <c r="O6" s="208" t="s">
        <v>16</v>
      </c>
      <c r="P6" s="208" t="s">
        <v>17</v>
      </c>
      <c r="Q6" s="208" t="s">
        <v>18</v>
      </c>
      <c r="R6" s="208" t="s">
        <v>19</v>
      </c>
      <c r="S6" s="164"/>
      <c r="T6" s="164"/>
      <c r="U6" s="164"/>
      <c r="V6" s="164"/>
    </row>
    <row r="7" spans="1:25" x14ac:dyDescent="0.2">
      <c r="A7" s="69"/>
      <c r="B7" s="69"/>
      <c r="C7" s="69"/>
      <c r="D7" s="69"/>
      <c r="E7" s="69"/>
      <c r="F7" s="236"/>
      <c r="G7" s="237"/>
      <c r="H7" s="211"/>
      <c r="I7" s="212"/>
      <c r="J7" s="212"/>
      <c r="K7" s="212"/>
      <c r="L7" s="212"/>
      <c r="M7" s="212"/>
      <c r="N7" s="213"/>
      <c r="O7" s="212"/>
      <c r="P7" s="212"/>
      <c r="Q7" s="238"/>
      <c r="R7" s="238"/>
      <c r="U7" s="180"/>
      <c r="V7" s="181"/>
    </row>
    <row r="8" spans="1:25" x14ac:dyDescent="0.2">
      <c r="A8" s="33">
        <v>1</v>
      </c>
      <c r="B8" s="71"/>
      <c r="C8" s="71"/>
      <c r="D8" s="71"/>
      <c r="E8" s="71"/>
      <c r="F8" s="239" t="s">
        <v>20</v>
      </c>
      <c r="G8" s="240">
        <f>+G10+G49</f>
        <v>3891000000</v>
      </c>
      <c r="H8" s="211"/>
      <c r="I8" s="240">
        <f>+I10+I49</f>
        <v>50841078</v>
      </c>
      <c r="J8" s="240">
        <f>+J10+J49</f>
        <v>50841078</v>
      </c>
      <c r="K8" s="240">
        <f>+K10+K49</f>
        <v>0</v>
      </c>
      <c r="L8" s="240">
        <f>+L10+L49</f>
        <v>0</v>
      </c>
      <c r="M8" s="240">
        <f>+G8+I8-J8</f>
        <v>3891000000</v>
      </c>
      <c r="N8" s="213"/>
      <c r="O8" s="213">
        <f>+O10+O49</f>
        <v>3553772220</v>
      </c>
      <c r="P8" s="213">
        <f>+P10+P49</f>
        <v>3553772220</v>
      </c>
      <c r="Q8" s="213">
        <f>+Q10+Q49</f>
        <v>3553772220</v>
      </c>
      <c r="R8" s="213">
        <f>+R10+R49</f>
        <v>3553772220</v>
      </c>
      <c r="W8" s="59"/>
      <c r="X8" s="59"/>
    </row>
    <row r="9" spans="1:25" x14ac:dyDescent="0.2">
      <c r="A9" s="71"/>
      <c r="B9" s="71"/>
      <c r="C9" s="71"/>
      <c r="D9" s="71"/>
      <c r="E9" s="71"/>
      <c r="F9" s="241"/>
      <c r="G9" s="240"/>
      <c r="H9" s="211"/>
      <c r="I9" s="213"/>
      <c r="J9" s="213"/>
      <c r="K9" s="213"/>
      <c r="L9" s="213"/>
      <c r="M9" s="240"/>
      <c r="N9" s="213"/>
      <c r="O9" s="213"/>
      <c r="P9" s="213"/>
      <c r="Q9" s="213"/>
      <c r="R9" s="213"/>
      <c r="W9" s="59"/>
      <c r="X9" s="59"/>
      <c r="Y9" s="59"/>
    </row>
    <row r="10" spans="1:25" s="166" customFormat="1" x14ac:dyDescent="0.2">
      <c r="A10" s="33">
        <v>1</v>
      </c>
      <c r="B10" s="33">
        <v>0</v>
      </c>
      <c r="C10" s="33"/>
      <c r="D10" s="33"/>
      <c r="E10" s="33"/>
      <c r="F10" s="242" t="s">
        <v>21</v>
      </c>
      <c r="G10" s="243">
        <f>+G12+G39+G42</f>
        <v>3891000000</v>
      </c>
      <c r="H10" s="214"/>
      <c r="I10" s="243">
        <f>+I12+I39+I42</f>
        <v>50841078</v>
      </c>
      <c r="J10" s="243">
        <f>+J12+J39+J42</f>
        <v>50841078</v>
      </c>
      <c r="K10" s="243">
        <f>+K12+K39+K42</f>
        <v>0</v>
      </c>
      <c r="L10" s="243">
        <f>+L12+L39+L42</f>
        <v>0</v>
      </c>
      <c r="M10" s="240">
        <f>+G10+I10-J10</f>
        <v>3891000000</v>
      </c>
      <c r="N10" s="216"/>
      <c r="O10" s="215">
        <f>+O12+O39+O42</f>
        <v>3553772220</v>
      </c>
      <c r="P10" s="215">
        <f>+P12+P39+P42</f>
        <v>3553772220</v>
      </c>
      <c r="Q10" s="215">
        <f>+Q12+Q39+Q42</f>
        <v>3553772220</v>
      </c>
      <c r="R10" s="215">
        <f>+R12+R39+R42</f>
        <v>3553772220</v>
      </c>
      <c r="S10" s="60"/>
      <c r="T10" s="183"/>
      <c r="U10" s="164"/>
      <c r="V10" s="60"/>
      <c r="W10" s="184"/>
      <c r="X10" s="184"/>
    </row>
    <row r="11" spans="1:25" x14ac:dyDescent="0.2">
      <c r="A11" s="96"/>
      <c r="B11" s="96"/>
      <c r="C11" s="96"/>
      <c r="D11" s="96"/>
      <c r="E11" s="96"/>
      <c r="F11" s="242"/>
      <c r="G11" s="243"/>
      <c r="H11" s="214"/>
      <c r="I11" s="217"/>
      <c r="J11" s="217"/>
      <c r="K11" s="217"/>
      <c r="L11" s="217"/>
      <c r="M11" s="243"/>
      <c r="N11" s="217"/>
      <c r="O11" s="217"/>
      <c r="P11" s="217"/>
      <c r="Q11" s="217"/>
      <c r="R11" s="217"/>
    </row>
    <row r="12" spans="1:25" s="166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42" t="s">
        <v>22</v>
      </c>
      <c r="G12" s="243">
        <f>+G14+G18+G22+G32+G35</f>
        <v>3741346692</v>
      </c>
      <c r="H12" s="214"/>
      <c r="I12" s="243">
        <f>+I14+I18+I22+I32+I35</f>
        <v>50841078</v>
      </c>
      <c r="J12" s="243">
        <f>+J14+J18+J22+J32+J35</f>
        <v>50841078</v>
      </c>
      <c r="K12" s="243">
        <f>+K14+K18+K22+K32+K35</f>
        <v>0</v>
      </c>
      <c r="L12" s="243">
        <f>+L14+L18+L22+L32+L35</f>
        <v>0</v>
      </c>
      <c r="M12" s="240">
        <f>+G12+I12-J12</f>
        <v>3741346692</v>
      </c>
      <c r="N12" s="215"/>
      <c r="O12" s="240">
        <f>+O14+O18+O22+O32+O35</f>
        <v>3404118912</v>
      </c>
      <c r="P12" s="240">
        <f>+P14+P18+P22+P32+P35</f>
        <v>3404118912</v>
      </c>
      <c r="Q12" s="240">
        <f>+Q14+Q18+Q22+Q32+Q35</f>
        <v>3404118912</v>
      </c>
      <c r="R12" s="240">
        <f>+R14+R18+R22+R32+R35</f>
        <v>3404118912</v>
      </c>
      <c r="S12" s="60"/>
      <c r="T12" s="60"/>
      <c r="U12" s="60"/>
      <c r="V12" s="60"/>
    </row>
    <row r="13" spans="1:25" s="166" customFormat="1" x14ac:dyDescent="0.2">
      <c r="A13" s="33"/>
      <c r="B13" s="33"/>
      <c r="C13" s="33"/>
      <c r="D13" s="33"/>
      <c r="E13" s="33"/>
      <c r="F13" s="242"/>
      <c r="G13" s="243"/>
      <c r="H13" s="214"/>
      <c r="I13" s="215"/>
      <c r="J13" s="215"/>
      <c r="K13" s="215"/>
      <c r="L13" s="215"/>
      <c r="M13" s="243"/>
      <c r="N13" s="215"/>
      <c r="O13" s="215"/>
      <c r="P13" s="215"/>
      <c r="Q13" s="215"/>
      <c r="R13" s="215"/>
      <c r="S13" s="60"/>
      <c r="T13" s="60"/>
      <c r="U13" s="60"/>
      <c r="V13" s="60"/>
    </row>
    <row r="14" spans="1:25" s="166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42" t="s">
        <v>23</v>
      </c>
      <c r="G14" s="243">
        <f>SUM(G15:G16)</f>
        <v>2787223812</v>
      </c>
      <c r="H14" s="214"/>
      <c r="I14" s="243">
        <f>SUM(I15:I16)</f>
        <v>6887114</v>
      </c>
      <c r="J14" s="243">
        <f>SUM(J15:J16)</f>
        <v>0</v>
      </c>
      <c r="K14" s="243">
        <f>SUM(K15:K16)</f>
        <v>0</v>
      </c>
      <c r="L14" s="243">
        <f>SUM(L15:L16)</f>
        <v>0</v>
      </c>
      <c r="M14" s="240">
        <f>+G14+I14-J14</f>
        <v>2794110926</v>
      </c>
      <c r="N14" s="215"/>
      <c r="O14" s="215">
        <f>SUM(O15:O16)</f>
        <v>2590579190</v>
      </c>
      <c r="P14" s="215">
        <f>SUM(P15:P16)</f>
        <v>2590579190</v>
      </c>
      <c r="Q14" s="215">
        <f>SUM(Q15:Q16)</f>
        <v>2590579190</v>
      </c>
      <c r="R14" s="215">
        <f>SUM(R15:R16)</f>
        <v>2590579190</v>
      </c>
      <c r="S14" s="60"/>
      <c r="T14" s="60"/>
      <c r="U14" s="60"/>
      <c r="V14" s="60"/>
    </row>
    <row r="15" spans="1:25" x14ac:dyDescent="0.2">
      <c r="A15" s="96">
        <v>1</v>
      </c>
      <c r="B15" s="96">
        <v>0</v>
      </c>
      <c r="C15" s="96">
        <v>1</v>
      </c>
      <c r="D15" s="96">
        <v>1</v>
      </c>
      <c r="E15" s="96">
        <v>1</v>
      </c>
      <c r="F15" s="187" t="s">
        <v>46</v>
      </c>
      <c r="G15" s="244">
        <v>2597223812</v>
      </c>
      <c r="H15" s="219"/>
      <c r="I15" s="217">
        <v>6887114</v>
      </c>
      <c r="J15" s="217">
        <v>0</v>
      </c>
      <c r="K15" s="217"/>
      <c r="L15" s="217"/>
      <c r="M15" s="245">
        <f>+G15-I15+J15</f>
        <v>2590336698</v>
      </c>
      <c r="N15" s="217"/>
      <c r="O15" s="217">
        <v>2495094247</v>
      </c>
      <c r="P15" s="217">
        <v>2495094247</v>
      </c>
      <c r="Q15" s="217">
        <v>2495094247</v>
      </c>
      <c r="R15" s="217">
        <v>2495094247</v>
      </c>
    </row>
    <row r="16" spans="1:25" x14ac:dyDescent="0.2">
      <c r="A16" s="96">
        <v>1</v>
      </c>
      <c r="B16" s="96">
        <v>0</v>
      </c>
      <c r="C16" s="96">
        <v>1</v>
      </c>
      <c r="D16" s="96">
        <v>1</v>
      </c>
      <c r="E16" s="96">
        <v>2</v>
      </c>
      <c r="F16" s="187" t="s">
        <v>47</v>
      </c>
      <c r="G16" s="244">
        <v>190000000</v>
      </c>
      <c r="H16" s="219"/>
      <c r="I16" s="217"/>
      <c r="J16" s="217"/>
      <c r="K16" s="217"/>
      <c r="L16" s="217"/>
      <c r="M16" s="245">
        <f>+G16+I16-J16</f>
        <v>190000000</v>
      </c>
      <c r="N16" s="217"/>
      <c r="O16" s="245">
        <v>95484943</v>
      </c>
      <c r="P16" s="245">
        <v>95484943</v>
      </c>
      <c r="Q16" s="245">
        <v>95484943</v>
      </c>
      <c r="R16" s="245">
        <v>95484943</v>
      </c>
    </row>
    <row r="17" spans="1:22" x14ac:dyDescent="0.2">
      <c r="A17" s="96"/>
      <c r="B17" s="96"/>
      <c r="C17" s="96"/>
      <c r="D17" s="96"/>
      <c r="E17" s="96"/>
      <c r="F17" s="187"/>
      <c r="G17" s="244"/>
      <c r="H17" s="219"/>
      <c r="I17" s="217"/>
      <c r="J17" s="217"/>
      <c r="K17" s="217"/>
      <c r="L17" s="217"/>
      <c r="M17" s="244"/>
      <c r="N17" s="217"/>
      <c r="O17" s="217"/>
      <c r="P17" s="217"/>
      <c r="Q17" s="217"/>
      <c r="R17" s="217"/>
    </row>
    <row r="18" spans="1:22" s="166" customFormat="1" x14ac:dyDescent="0.2">
      <c r="A18" s="33">
        <v>1</v>
      </c>
      <c r="B18" s="33">
        <v>0</v>
      </c>
      <c r="C18" s="33">
        <v>1</v>
      </c>
      <c r="D18" s="33">
        <v>4</v>
      </c>
      <c r="E18" s="33"/>
      <c r="F18" s="242" t="s">
        <v>24</v>
      </c>
      <c r="G18" s="243">
        <f>+G19+G20</f>
        <v>353890290</v>
      </c>
      <c r="H18" s="214"/>
      <c r="I18" s="243">
        <f>+I19+I20</f>
        <v>0</v>
      </c>
      <c r="J18" s="243">
        <f>+J19+J20</f>
        <v>0</v>
      </c>
      <c r="K18" s="243">
        <f>+K19+K20</f>
        <v>0</v>
      </c>
      <c r="L18" s="243">
        <f>+L19+L20</f>
        <v>0</v>
      </c>
      <c r="M18" s="243">
        <f>+G18+I18-J18</f>
        <v>353890290</v>
      </c>
      <c r="N18" s="215"/>
      <c r="O18" s="215">
        <f>SUM(O19:O20)</f>
        <v>260901502</v>
      </c>
      <c r="P18" s="215">
        <f>SUM(P19:P20)</f>
        <v>260901502</v>
      </c>
      <c r="Q18" s="215">
        <f>SUM(Q19:Q20)</f>
        <v>260901502</v>
      </c>
      <c r="R18" s="215">
        <f>SUM(R19:R20)</f>
        <v>260901502</v>
      </c>
      <c r="S18" s="60"/>
      <c r="T18" s="60"/>
      <c r="U18" s="59"/>
      <c r="V18" s="60"/>
    </row>
    <row r="19" spans="1:22" x14ac:dyDescent="0.2">
      <c r="A19" s="96">
        <v>1</v>
      </c>
      <c r="B19" s="96">
        <v>0</v>
      </c>
      <c r="C19" s="96">
        <v>1</v>
      </c>
      <c r="D19" s="96">
        <v>4</v>
      </c>
      <c r="E19" s="96">
        <v>1</v>
      </c>
      <c r="F19" s="187" t="s">
        <v>48</v>
      </c>
      <c r="G19" s="244">
        <v>39450290</v>
      </c>
      <c r="H19" s="219"/>
      <c r="I19" s="217"/>
      <c r="J19" s="217"/>
      <c r="K19" s="217"/>
      <c r="L19" s="217"/>
      <c r="M19" s="244">
        <f>+G19+I19-J19</f>
        <v>39450290</v>
      </c>
      <c r="N19" s="217"/>
      <c r="O19" s="217">
        <v>2847046</v>
      </c>
      <c r="P19" s="217">
        <v>2847046</v>
      </c>
      <c r="Q19" s="217">
        <v>2847046</v>
      </c>
      <c r="R19" s="217">
        <v>2847046</v>
      </c>
    </row>
    <row r="20" spans="1:22" x14ac:dyDescent="0.2">
      <c r="A20" s="96">
        <v>1</v>
      </c>
      <c r="B20" s="96">
        <v>0</v>
      </c>
      <c r="C20" s="96">
        <v>1</v>
      </c>
      <c r="D20" s="96">
        <v>4</v>
      </c>
      <c r="E20" s="96">
        <v>2</v>
      </c>
      <c r="F20" s="187" t="s">
        <v>49</v>
      </c>
      <c r="G20" s="244">
        <v>314440000</v>
      </c>
      <c r="H20" s="219"/>
      <c r="I20" s="217"/>
      <c r="J20" s="217"/>
      <c r="K20" s="217"/>
      <c r="L20" s="217"/>
      <c r="M20" s="244">
        <f>+G20+I20-J20</f>
        <v>314440000</v>
      </c>
      <c r="N20" s="217"/>
      <c r="O20" s="217">
        <v>258054456</v>
      </c>
      <c r="P20" s="217">
        <v>258054456</v>
      </c>
      <c r="Q20" s="217">
        <v>258054456</v>
      </c>
      <c r="R20" s="217">
        <v>258054456</v>
      </c>
      <c r="S20" s="217"/>
    </row>
    <row r="21" spans="1:22" x14ac:dyDescent="0.2">
      <c r="A21" s="96"/>
      <c r="B21" s="96"/>
      <c r="C21" s="96"/>
      <c r="D21" s="96"/>
      <c r="E21" s="96"/>
      <c r="F21" s="187"/>
      <c r="G21" s="244"/>
      <c r="H21" s="219"/>
      <c r="I21" s="217"/>
      <c r="J21" s="217"/>
      <c r="K21" s="217"/>
      <c r="L21" s="217"/>
      <c r="M21" s="244"/>
      <c r="N21" s="217"/>
      <c r="O21" s="217"/>
      <c r="P21" s="217"/>
      <c r="Q21" s="217"/>
      <c r="R21" s="217"/>
    </row>
    <row r="22" spans="1:22" x14ac:dyDescent="0.2">
      <c r="A22" s="96">
        <v>1</v>
      </c>
      <c r="B22" s="96">
        <v>0</v>
      </c>
      <c r="C22" s="96">
        <v>1</v>
      </c>
      <c r="D22" s="96">
        <v>5</v>
      </c>
      <c r="E22" s="96"/>
      <c r="F22" s="242" t="s">
        <v>25</v>
      </c>
      <c r="G22" s="243">
        <f>SUM(G23:G30)</f>
        <v>600232590</v>
      </c>
      <c r="H22" s="214"/>
      <c r="I22" s="243">
        <f>SUM(I23:I30)</f>
        <v>43007611</v>
      </c>
      <c r="J22" s="243">
        <f>SUM(J23:J30)</f>
        <v>2600000</v>
      </c>
      <c r="K22" s="243">
        <f>SUM(K23:K30)</f>
        <v>0</v>
      </c>
      <c r="L22" s="243">
        <f>SUM(L23:L30)</f>
        <v>0</v>
      </c>
      <c r="M22" s="243">
        <f>+G22-I22+J22</f>
        <v>559824979</v>
      </c>
      <c r="N22" s="215"/>
      <c r="O22" s="215">
        <f>SUM(O23:O30)</f>
        <v>506709244</v>
      </c>
      <c r="P22" s="215">
        <f>SUM(P23:P30)</f>
        <v>506709244</v>
      </c>
      <c r="Q22" s="215">
        <f>SUM(Q23:Q30)</f>
        <v>506709244</v>
      </c>
      <c r="R22" s="215">
        <f>SUM(R23:R30)</f>
        <v>506709244</v>
      </c>
    </row>
    <row r="23" spans="1:22" ht="24" x14ac:dyDescent="0.2">
      <c r="A23" s="96">
        <v>1</v>
      </c>
      <c r="B23" s="96">
        <v>0</v>
      </c>
      <c r="C23" s="96">
        <v>1</v>
      </c>
      <c r="D23" s="96">
        <v>5</v>
      </c>
      <c r="E23" s="96">
        <v>2</v>
      </c>
      <c r="F23" s="187" t="s">
        <v>50</v>
      </c>
      <c r="G23" s="244">
        <v>9459590</v>
      </c>
      <c r="H23" s="219"/>
      <c r="I23" s="217">
        <v>0</v>
      </c>
      <c r="J23" s="217">
        <v>1110000</v>
      </c>
      <c r="K23" s="217"/>
      <c r="L23" s="217"/>
      <c r="M23" s="244">
        <f>+G23-I23+J23</f>
        <v>10569590</v>
      </c>
      <c r="N23" s="217"/>
      <c r="O23" s="217">
        <v>9459590</v>
      </c>
      <c r="P23" s="217">
        <v>9459590</v>
      </c>
      <c r="Q23" s="217">
        <v>9459590</v>
      </c>
      <c r="R23" s="217">
        <v>9459590</v>
      </c>
    </row>
    <row r="24" spans="1:22" ht="24" x14ac:dyDescent="0.2">
      <c r="A24" s="96">
        <v>1</v>
      </c>
      <c r="B24" s="96">
        <v>0</v>
      </c>
      <c r="C24" s="96">
        <v>1</v>
      </c>
      <c r="D24" s="96">
        <v>5</v>
      </c>
      <c r="E24" s="96">
        <v>5</v>
      </c>
      <c r="F24" s="187" t="s">
        <v>51</v>
      </c>
      <c r="G24" s="244">
        <v>17850000</v>
      </c>
      <c r="H24" s="219"/>
      <c r="I24" s="217"/>
      <c r="J24" s="217"/>
      <c r="K24" s="217"/>
      <c r="L24" s="217"/>
      <c r="M24" s="244">
        <f>+G24-I24+J24</f>
        <v>17850000</v>
      </c>
      <c r="N24" s="217"/>
      <c r="O24" s="245">
        <v>11200837</v>
      </c>
      <c r="P24" s="245">
        <v>11200837</v>
      </c>
      <c r="Q24" s="245">
        <v>11200837</v>
      </c>
      <c r="R24" s="245">
        <v>11200837</v>
      </c>
    </row>
    <row r="25" spans="1:22" x14ac:dyDescent="0.2">
      <c r="A25" s="96">
        <v>1</v>
      </c>
      <c r="B25" s="96">
        <v>0</v>
      </c>
      <c r="C25" s="96">
        <v>1</v>
      </c>
      <c r="D25" s="96">
        <v>5</v>
      </c>
      <c r="E25" s="96">
        <v>12</v>
      </c>
      <c r="F25" s="187" t="s">
        <v>52</v>
      </c>
      <c r="G25" s="244">
        <v>0</v>
      </c>
      <c r="H25" s="219"/>
      <c r="I25" s="217"/>
      <c r="J25" s="217"/>
      <c r="K25" s="217"/>
      <c r="L25" s="217"/>
      <c r="M25" s="244">
        <f t="shared" ref="M25:M26" si="0">+G25+I25-J25</f>
        <v>0</v>
      </c>
      <c r="N25" s="217"/>
      <c r="O25" s="217"/>
      <c r="P25" s="217"/>
      <c r="Q25" s="217"/>
      <c r="R25" s="217"/>
    </row>
    <row r="26" spans="1:22" x14ac:dyDescent="0.2">
      <c r="A26" s="96">
        <v>1</v>
      </c>
      <c r="B26" s="96">
        <v>0</v>
      </c>
      <c r="C26" s="96">
        <v>1</v>
      </c>
      <c r="D26" s="96">
        <v>5</v>
      </c>
      <c r="E26" s="96">
        <v>13</v>
      </c>
      <c r="F26" s="187" t="s">
        <v>53</v>
      </c>
      <c r="G26" s="244">
        <v>0</v>
      </c>
      <c r="H26" s="219"/>
      <c r="I26" s="217"/>
      <c r="J26" s="217"/>
      <c r="K26" s="217"/>
      <c r="L26" s="217"/>
      <c r="M26" s="244">
        <f t="shared" si="0"/>
        <v>0</v>
      </c>
      <c r="N26" s="217"/>
      <c r="O26" s="217"/>
      <c r="P26" s="217"/>
      <c r="Q26" s="217"/>
      <c r="R26" s="217"/>
    </row>
    <row r="27" spans="1:22" x14ac:dyDescent="0.2">
      <c r="A27" s="96">
        <v>1</v>
      </c>
      <c r="B27" s="96">
        <v>0</v>
      </c>
      <c r="C27" s="96">
        <v>1</v>
      </c>
      <c r="D27" s="96">
        <v>5</v>
      </c>
      <c r="E27" s="96">
        <v>14</v>
      </c>
      <c r="F27" s="187" t="s">
        <v>54</v>
      </c>
      <c r="G27" s="217">
        <v>147500000</v>
      </c>
      <c r="H27" s="219"/>
      <c r="I27" s="217">
        <f>21776966+7851765</f>
        <v>29628731</v>
      </c>
      <c r="J27" s="217">
        <v>900000</v>
      </c>
      <c r="K27" s="217"/>
      <c r="L27" s="217"/>
      <c r="M27" s="244">
        <f>+G27-I27+J27</f>
        <v>118771269</v>
      </c>
      <c r="N27" s="217"/>
      <c r="O27" s="245">
        <v>109779927</v>
      </c>
      <c r="P27" s="245">
        <v>109779927</v>
      </c>
      <c r="Q27" s="245">
        <v>109779927</v>
      </c>
      <c r="R27" s="245">
        <v>109779927</v>
      </c>
    </row>
    <row r="28" spans="1:22" x14ac:dyDescent="0.2">
      <c r="A28" s="96">
        <v>1</v>
      </c>
      <c r="B28" s="96">
        <v>0</v>
      </c>
      <c r="C28" s="96">
        <v>1</v>
      </c>
      <c r="D28" s="96">
        <v>5</v>
      </c>
      <c r="E28" s="96">
        <v>15</v>
      </c>
      <c r="F28" s="187" t="s">
        <v>55</v>
      </c>
      <c r="G28" s="244">
        <v>122423000</v>
      </c>
      <c r="H28" s="219"/>
      <c r="I28" s="217">
        <v>11678880</v>
      </c>
      <c r="J28" s="217"/>
      <c r="K28" s="217"/>
      <c r="L28" s="217"/>
      <c r="M28" s="244">
        <f t="shared" ref="M28:M30" si="1">+G28-I28+J28</f>
        <v>110744120</v>
      </c>
      <c r="N28" s="217"/>
      <c r="O28" s="245">
        <v>90321099</v>
      </c>
      <c r="P28" s="245">
        <v>90321099</v>
      </c>
      <c r="Q28" s="245">
        <v>90321099</v>
      </c>
      <c r="R28" s="245">
        <v>90321099</v>
      </c>
    </row>
    <row r="29" spans="1:22" x14ac:dyDescent="0.2">
      <c r="A29" s="96">
        <v>1</v>
      </c>
      <c r="B29" s="96">
        <v>0</v>
      </c>
      <c r="C29" s="96">
        <v>1</v>
      </c>
      <c r="D29" s="96">
        <v>5</v>
      </c>
      <c r="E29" s="96">
        <v>16</v>
      </c>
      <c r="F29" s="187" t="s">
        <v>56</v>
      </c>
      <c r="G29" s="244">
        <v>258000000</v>
      </c>
      <c r="H29" s="219"/>
      <c r="I29" s="217">
        <v>1700000</v>
      </c>
      <c r="J29" s="217">
        <v>0</v>
      </c>
      <c r="K29" s="217"/>
      <c r="L29" s="217"/>
      <c r="M29" s="244">
        <f t="shared" si="1"/>
        <v>256300000</v>
      </c>
      <c r="N29" s="217"/>
      <c r="O29" s="245">
        <v>245309904</v>
      </c>
      <c r="P29" s="245">
        <v>245309904</v>
      </c>
      <c r="Q29" s="245">
        <v>245309904</v>
      </c>
      <c r="R29" s="245">
        <v>245309904</v>
      </c>
    </row>
    <row r="30" spans="1:22" x14ac:dyDescent="0.2">
      <c r="A30" s="96">
        <v>1</v>
      </c>
      <c r="B30" s="96">
        <v>0</v>
      </c>
      <c r="C30" s="96">
        <v>1</v>
      </c>
      <c r="D30" s="96">
        <v>5</v>
      </c>
      <c r="E30" s="96">
        <v>47</v>
      </c>
      <c r="F30" s="187" t="s">
        <v>57</v>
      </c>
      <c r="G30" s="244">
        <v>45000000</v>
      </c>
      <c r="H30" s="219"/>
      <c r="I30" s="217">
        <v>0</v>
      </c>
      <c r="J30" s="217">
        <v>590000</v>
      </c>
      <c r="K30" s="217"/>
      <c r="L30" s="217"/>
      <c r="M30" s="244">
        <f t="shared" si="1"/>
        <v>45590000</v>
      </c>
      <c r="N30" s="217"/>
      <c r="O30" s="217">
        <v>40637887</v>
      </c>
      <c r="P30" s="217">
        <v>40637887</v>
      </c>
      <c r="Q30" s="217">
        <v>40637887</v>
      </c>
      <c r="R30" s="217">
        <v>40637887</v>
      </c>
    </row>
    <row r="31" spans="1:22" x14ac:dyDescent="0.2">
      <c r="A31" s="96"/>
      <c r="B31" s="96"/>
      <c r="C31" s="96"/>
      <c r="D31" s="96"/>
      <c r="E31" s="96"/>
      <c r="F31" s="187"/>
      <c r="G31" s="244"/>
      <c r="H31" s="219"/>
      <c r="I31" s="217"/>
      <c r="J31" s="217">
        <v>0</v>
      </c>
      <c r="K31" s="217"/>
      <c r="L31" s="217"/>
      <c r="M31" s="244"/>
      <c r="N31" s="217"/>
      <c r="O31" s="217"/>
      <c r="P31" s="217"/>
      <c r="Q31" s="217"/>
      <c r="R31" s="217"/>
    </row>
    <row r="32" spans="1:22" ht="36" x14ac:dyDescent="0.2">
      <c r="A32" s="96">
        <v>1</v>
      </c>
      <c r="B32" s="96">
        <v>0</v>
      </c>
      <c r="C32" s="96">
        <v>1</v>
      </c>
      <c r="D32" s="96">
        <v>8</v>
      </c>
      <c r="E32" s="96"/>
      <c r="F32" s="242" t="s">
        <v>26</v>
      </c>
      <c r="G32" s="243">
        <f>+G33</f>
        <v>0</v>
      </c>
      <c r="H32" s="214"/>
      <c r="I32" s="243">
        <f>+I33</f>
        <v>0</v>
      </c>
      <c r="J32" s="243">
        <f>+J33</f>
        <v>0</v>
      </c>
      <c r="K32" s="243">
        <f>+K33</f>
        <v>0</v>
      </c>
      <c r="L32" s="243">
        <f>+L33</f>
        <v>0</v>
      </c>
      <c r="M32" s="243">
        <f>+G32+I32-J32</f>
        <v>0</v>
      </c>
      <c r="N32" s="215"/>
      <c r="O32" s="215">
        <f>+O33</f>
        <v>0</v>
      </c>
      <c r="P32" s="215">
        <f>+P33</f>
        <v>0</v>
      </c>
      <c r="Q32" s="215">
        <f>+Q33</f>
        <v>0</v>
      </c>
      <c r="R32" s="215">
        <f>+R33</f>
        <v>0</v>
      </c>
    </row>
    <row r="33" spans="1:22" x14ac:dyDescent="0.2">
      <c r="A33" s="96">
        <v>1</v>
      </c>
      <c r="B33" s="96">
        <v>0</v>
      </c>
      <c r="C33" s="96">
        <v>1</v>
      </c>
      <c r="D33" s="96">
        <v>8</v>
      </c>
      <c r="E33" s="96">
        <v>1</v>
      </c>
      <c r="F33" s="187" t="s">
        <v>21</v>
      </c>
      <c r="G33" s="244">
        <v>0</v>
      </c>
      <c r="H33" s="219"/>
      <c r="I33" s="217"/>
      <c r="J33" s="217"/>
      <c r="K33" s="217"/>
      <c r="L33" s="217"/>
      <c r="M33" s="245">
        <f>+G33+I33-J33</f>
        <v>0</v>
      </c>
      <c r="N33" s="217"/>
      <c r="O33" s="245">
        <v>0</v>
      </c>
      <c r="P33" s="245">
        <v>0</v>
      </c>
      <c r="Q33" s="245">
        <v>0</v>
      </c>
      <c r="R33" s="245">
        <v>0</v>
      </c>
    </row>
    <row r="34" spans="1:22" x14ac:dyDescent="0.2">
      <c r="A34" s="96"/>
      <c r="B34" s="96"/>
      <c r="C34" s="96"/>
      <c r="D34" s="96"/>
      <c r="E34" s="96"/>
      <c r="F34" s="187"/>
      <c r="G34" s="244"/>
      <c r="H34" s="219"/>
      <c r="I34" s="217"/>
      <c r="J34" s="217"/>
      <c r="K34" s="217"/>
      <c r="L34" s="217"/>
      <c r="M34" s="244"/>
      <c r="N34" s="217"/>
      <c r="O34" s="217"/>
      <c r="P34" s="217"/>
      <c r="Q34" s="217"/>
      <c r="R34" s="217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42" t="s">
        <v>27</v>
      </c>
      <c r="G35" s="243">
        <f>+G36</f>
        <v>0</v>
      </c>
      <c r="H35" s="214"/>
      <c r="I35" s="243">
        <f>+I36+I37</f>
        <v>946353</v>
      </c>
      <c r="J35" s="243">
        <f>+J36+J37</f>
        <v>48241078</v>
      </c>
      <c r="K35" s="243">
        <f>+K36</f>
        <v>0</v>
      </c>
      <c r="L35" s="243">
        <f>+L36</f>
        <v>0</v>
      </c>
      <c r="M35" s="288">
        <f>+G35-I35+J35</f>
        <v>47294725</v>
      </c>
      <c r="N35" s="216"/>
      <c r="O35" s="215">
        <f>+O36+O37</f>
        <v>45928976</v>
      </c>
      <c r="P35" s="215">
        <f>+P36+P37</f>
        <v>45928976</v>
      </c>
      <c r="Q35" s="215">
        <f>+Q36+Q37</f>
        <v>45928976</v>
      </c>
      <c r="R35" s="215">
        <f>+R36+R37</f>
        <v>45928976</v>
      </c>
    </row>
    <row r="36" spans="1:22" x14ac:dyDescent="0.2">
      <c r="A36" s="96">
        <v>1</v>
      </c>
      <c r="B36" s="96">
        <v>0</v>
      </c>
      <c r="C36" s="96">
        <v>1</v>
      </c>
      <c r="D36" s="96">
        <v>9</v>
      </c>
      <c r="E36" s="96">
        <v>1</v>
      </c>
      <c r="F36" s="187" t="s">
        <v>58</v>
      </c>
      <c r="G36" s="244">
        <v>0</v>
      </c>
      <c r="H36" s="219"/>
      <c r="I36" s="217">
        <v>946353</v>
      </c>
      <c r="J36" s="217">
        <f>6075000+3000000</f>
        <v>9075000</v>
      </c>
      <c r="K36" s="217"/>
      <c r="L36" s="217"/>
      <c r="M36" s="244">
        <f>+G36-I36+J36</f>
        <v>8128647</v>
      </c>
      <c r="N36" s="217"/>
      <c r="O36" s="245">
        <v>6762898</v>
      </c>
      <c r="P36" s="245">
        <v>6762898</v>
      </c>
      <c r="Q36" s="245">
        <v>6762898</v>
      </c>
      <c r="R36" s="245">
        <v>6762898</v>
      </c>
    </row>
    <row r="37" spans="1:22" x14ac:dyDescent="0.2">
      <c r="A37" s="96">
        <v>1</v>
      </c>
      <c r="B37" s="96">
        <v>0</v>
      </c>
      <c r="C37" s="96">
        <v>1</v>
      </c>
      <c r="D37" s="96">
        <v>9</v>
      </c>
      <c r="E37" s="96">
        <v>3</v>
      </c>
      <c r="F37" s="187" t="s">
        <v>59</v>
      </c>
      <c r="G37" s="244">
        <v>0</v>
      </c>
      <c r="H37" s="219"/>
      <c r="I37" s="217">
        <v>0</v>
      </c>
      <c r="J37" s="217">
        <v>39166078</v>
      </c>
      <c r="K37" s="217"/>
      <c r="L37" s="217"/>
      <c r="M37" s="244">
        <f>+G37-I37+J37</f>
        <v>39166078</v>
      </c>
      <c r="N37" s="217"/>
      <c r="O37" s="245">
        <v>39166078</v>
      </c>
      <c r="P37" s="245">
        <v>39166078</v>
      </c>
      <c r="Q37" s="245">
        <v>39166078</v>
      </c>
      <c r="R37" s="245">
        <v>39166078</v>
      </c>
    </row>
    <row r="38" spans="1:22" x14ac:dyDescent="0.2">
      <c r="A38" s="96"/>
      <c r="B38" s="96"/>
      <c r="C38" s="96"/>
      <c r="D38" s="96"/>
      <c r="E38" s="96"/>
      <c r="F38" s="187"/>
      <c r="G38" s="244"/>
      <c r="H38" s="219"/>
      <c r="I38" s="217"/>
      <c r="J38" s="217"/>
      <c r="K38" s="217"/>
      <c r="L38" s="217"/>
      <c r="M38" s="244"/>
      <c r="N38" s="217"/>
      <c r="O38" s="217"/>
      <c r="P38" s="217"/>
      <c r="Q38" s="217"/>
      <c r="R38" s="217"/>
    </row>
    <row r="39" spans="1:22" s="166" customFormat="1" x14ac:dyDescent="0.2">
      <c r="A39" s="33">
        <v>1</v>
      </c>
      <c r="B39" s="33">
        <v>0</v>
      </c>
      <c r="C39" s="33">
        <v>2</v>
      </c>
      <c r="D39" s="33"/>
      <c r="E39" s="33"/>
      <c r="F39" s="242" t="s">
        <v>28</v>
      </c>
      <c r="G39" s="243">
        <f>+G40</f>
        <v>0</v>
      </c>
      <c r="H39" s="214"/>
      <c r="I39" s="215"/>
      <c r="J39" s="215"/>
      <c r="K39" s="215"/>
      <c r="L39" s="215"/>
      <c r="M39" s="243">
        <f>+G39+I39-J39</f>
        <v>0</v>
      </c>
      <c r="N39" s="215"/>
      <c r="O39" s="215">
        <f>+O40</f>
        <v>0</v>
      </c>
      <c r="P39" s="215">
        <f>+P40</f>
        <v>0</v>
      </c>
      <c r="Q39" s="215">
        <f>+Q40</f>
        <v>0</v>
      </c>
      <c r="R39" s="215">
        <f>+R40</f>
        <v>0</v>
      </c>
      <c r="S39" s="59"/>
      <c r="T39" s="60"/>
      <c r="U39" s="59"/>
      <c r="V39" s="60"/>
    </row>
    <row r="40" spans="1:22" x14ac:dyDescent="0.2">
      <c r="A40" s="96">
        <v>1</v>
      </c>
      <c r="B40" s="96">
        <v>0</v>
      </c>
      <c r="C40" s="96">
        <v>2</v>
      </c>
      <c r="D40" s="96">
        <v>14</v>
      </c>
      <c r="E40" s="96"/>
      <c r="F40" s="187" t="s">
        <v>60</v>
      </c>
      <c r="G40" s="244">
        <v>0</v>
      </c>
      <c r="H40" s="219"/>
      <c r="I40" s="217"/>
      <c r="J40" s="217"/>
      <c r="K40" s="217"/>
      <c r="L40" s="217"/>
      <c r="M40" s="244">
        <f>+G40+I40-J40</f>
        <v>0</v>
      </c>
      <c r="N40" s="217"/>
      <c r="O40" s="245"/>
      <c r="P40" s="245"/>
      <c r="Q40" s="245"/>
      <c r="R40" s="245"/>
    </row>
    <row r="41" spans="1:22" x14ac:dyDescent="0.2">
      <c r="A41" s="96"/>
      <c r="B41" s="96"/>
      <c r="C41" s="96"/>
      <c r="D41" s="96"/>
      <c r="E41" s="96"/>
      <c r="F41" s="187"/>
      <c r="G41" s="244"/>
      <c r="H41" s="219"/>
      <c r="I41" s="217"/>
      <c r="J41" s="217"/>
      <c r="K41" s="217"/>
      <c r="L41" s="217"/>
      <c r="M41" s="244"/>
      <c r="N41" s="217"/>
      <c r="O41" s="217"/>
      <c r="P41" s="217"/>
      <c r="Q41" s="217"/>
      <c r="R41" s="217"/>
    </row>
    <row r="42" spans="1:22" s="166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42" t="s">
        <v>29</v>
      </c>
      <c r="G42" s="243">
        <f>SUM(G44:G47)</f>
        <v>149653308</v>
      </c>
      <c r="H42" s="214"/>
      <c r="I42" s="243">
        <f>SUM(I44:I47)</f>
        <v>0</v>
      </c>
      <c r="J42" s="243">
        <f>SUM(J44:J47)</f>
        <v>0</v>
      </c>
      <c r="K42" s="243">
        <f>SUM(K44:K47)</f>
        <v>0</v>
      </c>
      <c r="L42" s="243">
        <f>SUM(L44:L47)</f>
        <v>0</v>
      </c>
      <c r="M42" s="243">
        <f>+G42+I42-J42</f>
        <v>149653308</v>
      </c>
      <c r="N42" s="215"/>
      <c r="O42" s="243">
        <f>SUM(O44:O47)</f>
        <v>149653308</v>
      </c>
      <c r="P42" s="243">
        <f>SUM(P44:P47)</f>
        <v>149653308</v>
      </c>
      <c r="Q42" s="243">
        <f>SUM(Q44:Q47)</f>
        <v>149653308</v>
      </c>
      <c r="R42" s="243">
        <f>SUM(R44:R47)</f>
        <v>149653308</v>
      </c>
      <c r="S42" s="59"/>
      <c r="T42" s="60"/>
      <c r="U42" s="59"/>
      <c r="V42" s="60"/>
    </row>
    <row r="43" spans="1:22" x14ac:dyDescent="0.2">
      <c r="A43" s="33"/>
      <c r="B43" s="33"/>
      <c r="C43" s="33"/>
      <c r="D43" s="33"/>
      <c r="E43" s="33"/>
      <c r="F43" s="242"/>
      <c r="G43" s="243"/>
      <c r="H43" s="214"/>
      <c r="I43" s="217"/>
      <c r="J43" s="217"/>
      <c r="K43" s="217"/>
      <c r="L43" s="217"/>
      <c r="M43" s="243"/>
      <c r="N43" s="217"/>
      <c r="O43" s="217"/>
      <c r="P43" s="217"/>
      <c r="Q43" s="217"/>
      <c r="R43" s="217"/>
    </row>
    <row r="44" spans="1:22" s="166" customFormat="1" ht="24" x14ac:dyDescent="0.2">
      <c r="A44" s="96">
        <v>1</v>
      </c>
      <c r="B44" s="96">
        <v>0</v>
      </c>
      <c r="C44" s="96">
        <v>5</v>
      </c>
      <c r="D44" s="96">
        <v>1</v>
      </c>
      <c r="E44" s="96"/>
      <c r="F44" s="187" t="s">
        <v>30</v>
      </c>
      <c r="G44" s="244">
        <f>22000000+17553308+17000000+1500000</f>
        <v>58053308</v>
      </c>
      <c r="H44" s="214"/>
      <c r="I44" s="215"/>
      <c r="J44" s="215"/>
      <c r="K44" s="215"/>
      <c r="L44" s="215"/>
      <c r="M44" s="244">
        <f>+G44+I44-J44</f>
        <v>58053308</v>
      </c>
      <c r="N44" s="215"/>
      <c r="O44" s="220">
        <f>22000000+17553308+17000000+1500000</f>
        <v>58053308</v>
      </c>
      <c r="P44" s="220">
        <f t="shared" ref="P44:R44" si="2">22000000+17553308+17000000+1500000</f>
        <v>58053308</v>
      </c>
      <c r="Q44" s="220">
        <f t="shared" si="2"/>
        <v>58053308</v>
      </c>
      <c r="R44" s="220">
        <f t="shared" si="2"/>
        <v>58053308</v>
      </c>
      <c r="S44" s="59"/>
      <c r="T44" s="60"/>
      <c r="U44" s="59"/>
      <c r="V44" s="60"/>
    </row>
    <row r="45" spans="1:22" s="166" customFormat="1" ht="24" x14ac:dyDescent="0.2">
      <c r="A45" s="96">
        <v>1</v>
      </c>
      <c r="B45" s="96">
        <v>0</v>
      </c>
      <c r="C45" s="96">
        <v>5</v>
      </c>
      <c r="D45" s="96">
        <v>2</v>
      </c>
      <c r="E45" s="96"/>
      <c r="F45" s="187" t="s">
        <v>31</v>
      </c>
      <c r="G45" s="244">
        <f>60000000+15000000+600000</f>
        <v>75600000</v>
      </c>
      <c r="H45" s="214"/>
      <c r="I45" s="215"/>
      <c r="J45" s="215"/>
      <c r="K45" s="215"/>
      <c r="L45" s="215"/>
      <c r="M45" s="244">
        <f>+G45+I45-J45</f>
        <v>75600000</v>
      </c>
      <c r="N45" s="215"/>
      <c r="O45" s="220">
        <v>75600000</v>
      </c>
      <c r="P45" s="220">
        <v>75600000</v>
      </c>
      <c r="Q45" s="220">
        <v>75600000</v>
      </c>
      <c r="R45" s="220">
        <v>75600000</v>
      </c>
      <c r="S45" s="59"/>
      <c r="T45" s="60"/>
      <c r="U45" s="59"/>
      <c r="V45" s="60"/>
    </row>
    <row r="46" spans="1:22" x14ac:dyDescent="0.2">
      <c r="A46" s="96">
        <v>1</v>
      </c>
      <c r="B46" s="96">
        <v>0</v>
      </c>
      <c r="C46" s="96">
        <v>5</v>
      </c>
      <c r="D46" s="96">
        <v>6</v>
      </c>
      <c r="E46" s="188"/>
      <c r="F46" s="187" t="s">
        <v>61</v>
      </c>
      <c r="G46" s="244">
        <v>9000000</v>
      </c>
      <c r="H46" s="219"/>
      <c r="I46" s="213"/>
      <c r="J46" s="213"/>
      <c r="K46" s="213"/>
      <c r="L46" s="213"/>
      <c r="M46" s="244">
        <f>+G46+I46-J46</f>
        <v>9000000</v>
      </c>
      <c r="N46" s="213"/>
      <c r="O46" s="246">
        <v>9000000</v>
      </c>
      <c r="P46" s="246">
        <v>9000000</v>
      </c>
      <c r="Q46" s="246">
        <v>9000000</v>
      </c>
      <c r="R46" s="246">
        <v>9000000</v>
      </c>
    </row>
    <row r="47" spans="1:22" x14ac:dyDescent="0.2">
      <c r="A47" s="96">
        <v>1</v>
      </c>
      <c r="B47" s="96">
        <v>0</v>
      </c>
      <c r="C47" s="96">
        <v>5</v>
      </c>
      <c r="D47" s="96">
        <v>7</v>
      </c>
      <c r="E47" s="188"/>
      <c r="F47" s="187" t="s">
        <v>62</v>
      </c>
      <c r="G47" s="244">
        <v>7000000</v>
      </c>
      <c r="H47" s="219"/>
      <c r="I47" s="213"/>
      <c r="J47" s="213"/>
      <c r="K47" s="213"/>
      <c r="L47" s="213"/>
      <c r="M47" s="244">
        <f>+G47+I47-J47</f>
        <v>7000000</v>
      </c>
      <c r="N47" s="213"/>
      <c r="O47" s="246">
        <v>7000000</v>
      </c>
      <c r="P47" s="246">
        <v>7000000</v>
      </c>
      <c r="Q47" s="246">
        <v>7000000</v>
      </c>
      <c r="R47" s="246">
        <v>7000000</v>
      </c>
    </row>
    <row r="48" spans="1:22" x14ac:dyDescent="0.2">
      <c r="A48" s="71"/>
      <c r="B48" s="71"/>
      <c r="C48" s="71"/>
      <c r="D48" s="71"/>
      <c r="E48" s="71"/>
      <c r="F48" s="241"/>
      <c r="G48" s="244"/>
      <c r="H48" s="219"/>
      <c r="I48" s="213"/>
      <c r="J48" s="213"/>
      <c r="K48" s="213"/>
      <c r="L48" s="213"/>
      <c r="M48" s="244"/>
      <c r="N48" s="213"/>
      <c r="O48" s="213"/>
      <c r="P48" s="213"/>
      <c r="Q48" s="213"/>
      <c r="R48" s="213"/>
    </row>
    <row r="49" spans="1:22" s="166" customFormat="1" x14ac:dyDescent="0.2">
      <c r="A49" s="33">
        <v>2</v>
      </c>
      <c r="B49" s="33">
        <v>0</v>
      </c>
      <c r="C49" s="33"/>
      <c r="D49" s="33"/>
      <c r="E49" s="33"/>
      <c r="F49" s="242" t="s">
        <v>32</v>
      </c>
      <c r="G49" s="243">
        <f>+G51+G54</f>
        <v>0</v>
      </c>
      <c r="H49" s="214"/>
      <c r="I49" s="243">
        <f>+I51+I54</f>
        <v>0</v>
      </c>
      <c r="J49" s="243">
        <f>+J51+J54</f>
        <v>0</v>
      </c>
      <c r="K49" s="243">
        <f>+K51+K54</f>
        <v>0</v>
      </c>
      <c r="L49" s="243">
        <f>+L51+L54</f>
        <v>0</v>
      </c>
      <c r="M49" s="243">
        <f>+G49+I49-J49</f>
        <v>0</v>
      </c>
      <c r="N49" s="215"/>
      <c r="O49" s="215">
        <f>+O51+O54</f>
        <v>0</v>
      </c>
      <c r="P49" s="215">
        <f>+P51+P54</f>
        <v>0</v>
      </c>
      <c r="Q49" s="215">
        <f>+Q51+Q54</f>
        <v>0</v>
      </c>
      <c r="R49" s="215">
        <f>+R51+R54</f>
        <v>0</v>
      </c>
      <c r="S49" s="59"/>
      <c r="T49" s="60"/>
      <c r="U49" s="59"/>
      <c r="V49" s="60"/>
    </row>
    <row r="50" spans="1:22" x14ac:dyDescent="0.2">
      <c r="A50" s="33"/>
      <c r="B50" s="33"/>
      <c r="C50" s="33"/>
      <c r="D50" s="33"/>
      <c r="E50" s="33"/>
      <c r="F50" s="242"/>
      <c r="G50" s="243"/>
      <c r="H50" s="214"/>
      <c r="I50" s="215"/>
      <c r="J50" s="215"/>
      <c r="K50" s="215"/>
      <c r="L50" s="215"/>
      <c r="M50" s="243"/>
      <c r="N50" s="215"/>
      <c r="O50" s="215"/>
      <c r="P50" s="215"/>
      <c r="Q50" s="215"/>
      <c r="R50" s="215"/>
    </row>
    <row r="51" spans="1:22" s="166" customFormat="1" x14ac:dyDescent="0.2">
      <c r="A51" s="33">
        <v>2</v>
      </c>
      <c r="B51" s="33">
        <v>0</v>
      </c>
      <c r="C51" s="33">
        <v>3</v>
      </c>
      <c r="D51" s="33"/>
      <c r="E51" s="33"/>
      <c r="F51" s="242" t="s">
        <v>33</v>
      </c>
      <c r="G51" s="243">
        <f>+G52</f>
        <v>0</v>
      </c>
      <c r="H51" s="214"/>
      <c r="I51" s="215"/>
      <c r="J51" s="215"/>
      <c r="K51" s="215"/>
      <c r="L51" s="215"/>
      <c r="M51" s="243">
        <f>+G51+I51-J51</f>
        <v>0</v>
      </c>
      <c r="N51" s="215"/>
      <c r="O51" s="215">
        <f>+O52</f>
        <v>0</v>
      </c>
      <c r="P51" s="215">
        <f>+P52</f>
        <v>0</v>
      </c>
      <c r="Q51" s="215">
        <f>+Q52</f>
        <v>0</v>
      </c>
      <c r="R51" s="215">
        <f>+R52</f>
        <v>0</v>
      </c>
      <c r="S51" s="59"/>
      <c r="T51" s="60"/>
      <c r="U51" s="59"/>
      <c r="V51" s="60"/>
    </row>
    <row r="52" spans="1:22" x14ac:dyDescent="0.2">
      <c r="A52" s="96">
        <v>2</v>
      </c>
      <c r="B52" s="96">
        <v>0</v>
      </c>
      <c r="C52" s="96">
        <v>3</v>
      </c>
      <c r="D52" s="96">
        <v>50</v>
      </c>
      <c r="E52" s="96"/>
      <c r="F52" s="187" t="s">
        <v>63</v>
      </c>
      <c r="G52" s="244">
        <v>0</v>
      </c>
      <c r="H52" s="219"/>
      <c r="I52" s="217"/>
      <c r="J52" s="217"/>
      <c r="K52" s="217"/>
      <c r="L52" s="217"/>
      <c r="M52" s="245">
        <f>+G52+I52-J52</f>
        <v>0</v>
      </c>
      <c r="N52" s="217"/>
      <c r="O52" s="245">
        <v>0</v>
      </c>
      <c r="P52" s="245">
        <v>0</v>
      </c>
      <c r="Q52" s="245">
        <v>0</v>
      </c>
      <c r="R52" s="245">
        <v>0</v>
      </c>
    </row>
    <row r="53" spans="1:22" x14ac:dyDescent="0.2">
      <c r="A53" s="96"/>
      <c r="B53" s="96"/>
      <c r="C53" s="96"/>
      <c r="D53" s="96"/>
      <c r="E53" s="96"/>
      <c r="F53" s="187"/>
      <c r="G53" s="244"/>
      <c r="H53" s="219"/>
      <c r="I53" s="220"/>
      <c r="J53" s="220"/>
      <c r="K53" s="220"/>
      <c r="L53" s="220"/>
      <c r="M53" s="244"/>
      <c r="N53" s="220"/>
      <c r="O53" s="220"/>
      <c r="P53" s="220"/>
      <c r="Q53" s="220"/>
      <c r="R53" s="220"/>
    </row>
    <row r="54" spans="1:22" s="166" customFormat="1" x14ac:dyDescent="0.2">
      <c r="A54" s="33">
        <v>2</v>
      </c>
      <c r="B54" s="33">
        <v>0</v>
      </c>
      <c r="C54" s="33">
        <v>4</v>
      </c>
      <c r="D54" s="33"/>
      <c r="E54" s="33"/>
      <c r="F54" s="242" t="s">
        <v>34</v>
      </c>
      <c r="G54" s="243">
        <f>SUM(G56:G69)</f>
        <v>0</v>
      </c>
      <c r="H54" s="214"/>
      <c r="I54" s="243">
        <f>SUM(I56:I69)</f>
        <v>0</v>
      </c>
      <c r="J54" s="243">
        <f>SUM(J56:J69)</f>
        <v>0</v>
      </c>
      <c r="K54" s="243">
        <f>SUM(K56:K69)</f>
        <v>0</v>
      </c>
      <c r="L54" s="243">
        <f>SUM(L56:L69)</f>
        <v>0</v>
      </c>
      <c r="M54" s="243">
        <f>+G54+I54-J54</f>
        <v>0</v>
      </c>
      <c r="N54" s="215"/>
      <c r="O54" s="247">
        <f>SUM(O56:O69)</f>
        <v>0</v>
      </c>
      <c r="P54" s="247">
        <f>SUM(P56:P69)</f>
        <v>0</v>
      </c>
      <c r="Q54" s="247">
        <f>SUM(Q56:Q69)</f>
        <v>0</v>
      </c>
      <c r="R54" s="247">
        <f>SUM(R56:R69)</f>
        <v>0</v>
      </c>
      <c r="S54" s="59"/>
      <c r="T54" s="60"/>
      <c r="U54" s="59"/>
      <c r="V54" s="60"/>
    </row>
    <row r="55" spans="1:22" s="166" customFormat="1" x14ac:dyDescent="0.2">
      <c r="A55" s="33"/>
      <c r="B55" s="33"/>
      <c r="C55" s="33"/>
      <c r="D55" s="33"/>
      <c r="E55" s="33"/>
      <c r="F55" s="242"/>
      <c r="G55" s="243"/>
      <c r="H55" s="214"/>
      <c r="I55" s="215"/>
      <c r="J55" s="215"/>
      <c r="K55" s="215"/>
      <c r="L55" s="215"/>
      <c r="M55" s="243"/>
      <c r="N55" s="215"/>
      <c r="O55" s="215"/>
      <c r="P55" s="215"/>
      <c r="Q55" s="215"/>
      <c r="R55" s="215"/>
      <c r="S55" s="59"/>
      <c r="T55" s="60"/>
      <c r="U55" s="59"/>
      <c r="V55" s="60"/>
    </row>
    <row r="56" spans="1:22" s="166" customFormat="1" ht="15" customHeight="1" x14ac:dyDescent="0.2">
      <c r="A56" s="96">
        <v>2</v>
      </c>
      <c r="B56" s="96">
        <v>0</v>
      </c>
      <c r="C56" s="96">
        <v>4</v>
      </c>
      <c r="D56" s="96">
        <v>1</v>
      </c>
      <c r="E56" s="33"/>
      <c r="F56" s="22" t="s">
        <v>80</v>
      </c>
      <c r="G56" s="244">
        <v>0</v>
      </c>
      <c r="H56" s="219"/>
      <c r="I56" s="215"/>
      <c r="J56" s="215"/>
      <c r="K56" s="215"/>
      <c r="L56" s="215"/>
      <c r="M56" s="244">
        <f t="shared" ref="M56:M69" si="3">+G56+I56-J56</f>
        <v>0</v>
      </c>
      <c r="N56" s="215"/>
      <c r="O56" s="245">
        <v>0</v>
      </c>
      <c r="P56" s="245">
        <v>0</v>
      </c>
      <c r="Q56" s="245">
        <v>0</v>
      </c>
      <c r="R56" s="245">
        <v>0</v>
      </c>
      <c r="S56" s="59"/>
      <c r="T56" s="60"/>
      <c r="U56" s="59"/>
      <c r="V56" s="60"/>
    </row>
    <row r="57" spans="1:22" s="166" customFormat="1" ht="15" customHeight="1" x14ac:dyDescent="0.2">
      <c r="A57" s="96">
        <v>2</v>
      </c>
      <c r="B57" s="96">
        <v>0</v>
      </c>
      <c r="C57" s="96">
        <v>4</v>
      </c>
      <c r="D57" s="96">
        <v>2</v>
      </c>
      <c r="E57" s="33"/>
      <c r="F57" s="22" t="s">
        <v>82</v>
      </c>
      <c r="G57" s="244">
        <v>0</v>
      </c>
      <c r="H57" s="219"/>
      <c r="I57" s="215"/>
      <c r="J57" s="215"/>
      <c r="K57" s="215"/>
      <c r="L57" s="215"/>
      <c r="M57" s="244">
        <f t="shared" si="3"/>
        <v>0</v>
      </c>
      <c r="N57" s="215"/>
      <c r="O57" s="245">
        <v>0</v>
      </c>
      <c r="P57" s="245">
        <v>0</v>
      </c>
      <c r="Q57" s="245">
        <v>0</v>
      </c>
      <c r="R57" s="245">
        <v>0</v>
      </c>
      <c r="S57" s="59"/>
      <c r="T57" s="60"/>
      <c r="U57" s="59"/>
      <c r="V57" s="60"/>
    </row>
    <row r="58" spans="1:22" s="166" customFormat="1" ht="15" customHeight="1" x14ac:dyDescent="0.2">
      <c r="A58" s="96">
        <v>2</v>
      </c>
      <c r="B58" s="96">
        <v>0</v>
      </c>
      <c r="C58" s="96">
        <v>4</v>
      </c>
      <c r="D58" s="96">
        <v>4</v>
      </c>
      <c r="E58" s="33"/>
      <c r="F58" s="187" t="s">
        <v>35</v>
      </c>
      <c r="G58" s="244">
        <v>0</v>
      </c>
      <c r="H58" s="219"/>
      <c r="I58" s="215"/>
      <c r="J58" s="215"/>
      <c r="K58" s="215"/>
      <c r="L58" s="215"/>
      <c r="M58" s="244">
        <f t="shared" si="3"/>
        <v>0</v>
      </c>
      <c r="N58" s="215"/>
      <c r="O58" s="245"/>
      <c r="P58" s="245"/>
      <c r="Q58" s="245"/>
      <c r="R58" s="245"/>
      <c r="S58" s="59"/>
      <c r="T58" s="60"/>
      <c r="U58" s="59"/>
      <c r="V58" s="60"/>
    </row>
    <row r="59" spans="1:22" s="166" customFormat="1" ht="15" customHeight="1" x14ac:dyDescent="0.2">
      <c r="A59" s="96">
        <v>2</v>
      </c>
      <c r="B59" s="96">
        <v>0</v>
      </c>
      <c r="C59" s="96">
        <v>4</v>
      </c>
      <c r="D59" s="96">
        <v>5</v>
      </c>
      <c r="E59" s="33"/>
      <c r="F59" s="187" t="s">
        <v>36</v>
      </c>
      <c r="G59" s="244">
        <v>0</v>
      </c>
      <c r="H59" s="219"/>
      <c r="I59" s="215"/>
      <c r="J59" s="215"/>
      <c r="K59" s="215"/>
      <c r="L59" s="215"/>
      <c r="M59" s="245">
        <f t="shared" si="3"/>
        <v>0</v>
      </c>
      <c r="N59" s="215"/>
      <c r="O59" s="245"/>
      <c r="P59" s="245"/>
      <c r="Q59" s="245"/>
      <c r="R59" s="245"/>
      <c r="S59" s="59"/>
      <c r="T59" s="60"/>
      <c r="U59" s="59"/>
      <c r="V59" s="60"/>
    </row>
    <row r="60" spans="1:22" s="166" customFormat="1" ht="15" customHeight="1" x14ac:dyDescent="0.2">
      <c r="A60" s="96">
        <v>2</v>
      </c>
      <c r="B60" s="96">
        <v>0</v>
      </c>
      <c r="C60" s="96">
        <v>4</v>
      </c>
      <c r="D60" s="96">
        <v>6</v>
      </c>
      <c r="E60" s="33"/>
      <c r="F60" s="187" t="s">
        <v>37</v>
      </c>
      <c r="G60" s="244">
        <v>0</v>
      </c>
      <c r="H60" s="219"/>
      <c r="I60" s="215"/>
      <c r="J60" s="215"/>
      <c r="K60" s="215"/>
      <c r="L60" s="215"/>
      <c r="M60" s="245">
        <f t="shared" si="3"/>
        <v>0</v>
      </c>
      <c r="N60" s="245"/>
      <c r="O60" s="245"/>
      <c r="P60" s="245"/>
      <c r="Q60" s="245"/>
      <c r="R60" s="245"/>
      <c r="S60" s="59"/>
      <c r="T60" s="60"/>
      <c r="U60" s="63"/>
      <c r="V60" s="60"/>
    </row>
    <row r="61" spans="1:22" s="166" customFormat="1" ht="15" customHeight="1" x14ac:dyDescent="0.2">
      <c r="A61" s="96">
        <v>2</v>
      </c>
      <c r="B61" s="96">
        <v>0</v>
      </c>
      <c r="C61" s="96">
        <v>4</v>
      </c>
      <c r="D61" s="96">
        <v>7</v>
      </c>
      <c r="E61" s="33"/>
      <c r="F61" s="187" t="s">
        <v>38</v>
      </c>
      <c r="G61" s="244">
        <v>0</v>
      </c>
      <c r="H61" s="219"/>
      <c r="I61" s="215"/>
      <c r="J61" s="215"/>
      <c r="K61" s="215"/>
      <c r="L61" s="215"/>
      <c r="M61" s="244">
        <f t="shared" si="3"/>
        <v>0</v>
      </c>
      <c r="N61" s="215"/>
      <c r="O61" s="220"/>
      <c r="P61" s="220"/>
      <c r="Q61" s="220"/>
      <c r="R61" s="220"/>
      <c r="S61" s="59"/>
      <c r="T61" s="60"/>
      <c r="U61" s="273"/>
      <c r="V61" s="60"/>
    </row>
    <row r="62" spans="1:22" s="166" customFormat="1" ht="15" customHeight="1" x14ac:dyDescent="0.2">
      <c r="A62" s="96">
        <v>2</v>
      </c>
      <c r="B62" s="96">
        <v>0</v>
      </c>
      <c r="C62" s="96">
        <v>4</v>
      </c>
      <c r="D62" s="96">
        <v>8</v>
      </c>
      <c r="E62" s="33"/>
      <c r="F62" s="187" t="s">
        <v>39</v>
      </c>
      <c r="G62" s="244">
        <v>0</v>
      </c>
      <c r="H62" s="219"/>
      <c r="I62" s="215"/>
      <c r="J62" s="215"/>
      <c r="K62" s="215"/>
      <c r="L62" s="215"/>
      <c r="M62" s="244">
        <f t="shared" si="3"/>
        <v>0</v>
      </c>
      <c r="N62" s="215"/>
      <c r="O62" s="220"/>
      <c r="P62" s="220"/>
      <c r="Q62" s="220"/>
      <c r="R62" s="220"/>
      <c r="S62" s="59"/>
      <c r="T62" s="60"/>
      <c r="U62" s="63"/>
      <c r="V62" s="60"/>
    </row>
    <row r="63" spans="1:22" s="166" customFormat="1" ht="15" customHeight="1" x14ac:dyDescent="0.2">
      <c r="A63" s="96">
        <v>2</v>
      </c>
      <c r="B63" s="96">
        <v>0</v>
      </c>
      <c r="C63" s="96">
        <v>4</v>
      </c>
      <c r="D63" s="96">
        <v>9</v>
      </c>
      <c r="E63" s="33"/>
      <c r="F63" s="187" t="s">
        <v>40</v>
      </c>
      <c r="G63" s="244">
        <v>0</v>
      </c>
      <c r="H63" s="219"/>
      <c r="I63" s="215"/>
      <c r="J63" s="215"/>
      <c r="K63" s="215"/>
      <c r="L63" s="215"/>
      <c r="M63" s="244">
        <f t="shared" si="3"/>
        <v>0</v>
      </c>
      <c r="N63" s="215"/>
      <c r="O63" s="220"/>
      <c r="P63" s="220"/>
      <c r="Q63" s="220"/>
      <c r="R63" s="220"/>
      <c r="S63" s="59"/>
      <c r="T63" s="60"/>
      <c r="U63" s="59"/>
      <c r="V63" s="60"/>
    </row>
    <row r="64" spans="1:22" s="166" customFormat="1" ht="15" customHeight="1" x14ac:dyDescent="0.2">
      <c r="A64" s="96">
        <v>2</v>
      </c>
      <c r="B64" s="96">
        <v>0</v>
      </c>
      <c r="C64" s="96">
        <v>4</v>
      </c>
      <c r="D64" s="96">
        <v>11</v>
      </c>
      <c r="E64" s="33"/>
      <c r="F64" s="187" t="s">
        <v>41</v>
      </c>
      <c r="G64" s="244">
        <v>0</v>
      </c>
      <c r="H64" s="219"/>
      <c r="I64" s="215"/>
      <c r="J64" s="215"/>
      <c r="K64" s="215"/>
      <c r="L64" s="215"/>
      <c r="M64" s="245">
        <f t="shared" si="3"/>
        <v>0</v>
      </c>
      <c r="N64" s="215"/>
      <c r="O64" s="245"/>
      <c r="P64" s="245"/>
      <c r="Q64" s="245"/>
      <c r="R64" s="245"/>
      <c r="S64" s="60"/>
      <c r="T64" s="60"/>
      <c r="U64" s="59"/>
      <c r="V64" s="60"/>
    </row>
    <row r="65" spans="1:22" ht="15" customHeight="1" x14ac:dyDescent="0.2">
      <c r="A65" s="96">
        <v>2</v>
      </c>
      <c r="B65" s="96">
        <v>0</v>
      </c>
      <c r="C65" s="96">
        <v>4</v>
      </c>
      <c r="D65" s="96">
        <v>14</v>
      </c>
      <c r="E65" s="96"/>
      <c r="F65" s="187" t="s">
        <v>83</v>
      </c>
      <c r="G65" s="244">
        <v>0</v>
      </c>
      <c r="H65" s="219"/>
      <c r="I65" s="215"/>
      <c r="J65" s="215"/>
      <c r="K65" s="215"/>
      <c r="L65" s="215"/>
      <c r="M65" s="245">
        <f t="shared" si="3"/>
        <v>0</v>
      </c>
      <c r="N65" s="215"/>
      <c r="O65" s="245">
        <v>0</v>
      </c>
      <c r="P65" s="245">
        <v>0</v>
      </c>
      <c r="Q65" s="245">
        <v>0</v>
      </c>
      <c r="R65" s="245">
        <v>0</v>
      </c>
    </row>
    <row r="66" spans="1:22" ht="15" customHeight="1" x14ac:dyDescent="0.2">
      <c r="A66" s="96">
        <v>2</v>
      </c>
      <c r="B66" s="96">
        <v>0</v>
      </c>
      <c r="C66" s="96">
        <v>4</v>
      </c>
      <c r="D66" s="96">
        <v>17</v>
      </c>
      <c r="E66" s="96"/>
      <c r="F66" s="187" t="s">
        <v>43</v>
      </c>
      <c r="G66" s="244">
        <v>0</v>
      </c>
      <c r="H66" s="219"/>
      <c r="I66" s="215"/>
      <c r="J66" s="215"/>
      <c r="K66" s="215"/>
      <c r="L66" s="215"/>
      <c r="M66" s="245">
        <f t="shared" si="3"/>
        <v>0</v>
      </c>
      <c r="N66" s="215"/>
      <c r="O66" s="245">
        <v>0</v>
      </c>
      <c r="P66" s="245">
        <v>0</v>
      </c>
      <c r="Q66" s="245">
        <v>0</v>
      </c>
      <c r="R66" s="245">
        <v>0</v>
      </c>
    </row>
    <row r="67" spans="1:22" s="166" customFormat="1" ht="15" customHeight="1" x14ac:dyDescent="0.2">
      <c r="A67" s="96">
        <v>2</v>
      </c>
      <c r="B67" s="96">
        <v>0</v>
      </c>
      <c r="C67" s="96">
        <v>4</v>
      </c>
      <c r="D67" s="96">
        <v>21</v>
      </c>
      <c r="E67" s="33"/>
      <c r="F67" s="189" t="s">
        <v>64</v>
      </c>
      <c r="G67" s="244">
        <v>0</v>
      </c>
      <c r="H67" s="219"/>
      <c r="I67" s="215"/>
      <c r="J67" s="215"/>
      <c r="K67" s="215"/>
      <c r="L67" s="215"/>
      <c r="M67" s="245">
        <f t="shared" si="3"/>
        <v>0</v>
      </c>
      <c r="N67" s="215"/>
      <c r="O67" s="245">
        <v>0</v>
      </c>
      <c r="P67" s="245">
        <v>0</v>
      </c>
      <c r="Q67" s="245">
        <v>0</v>
      </c>
      <c r="R67" s="245">
        <v>0</v>
      </c>
      <c r="S67" s="60"/>
      <c r="T67" s="60"/>
      <c r="U67" s="59"/>
      <c r="V67" s="60"/>
    </row>
    <row r="68" spans="1:22" s="166" customFormat="1" ht="15" customHeight="1" x14ac:dyDescent="0.2">
      <c r="A68" s="96">
        <v>2</v>
      </c>
      <c r="B68" s="96">
        <v>0</v>
      </c>
      <c r="C68" s="96">
        <v>4</v>
      </c>
      <c r="D68" s="96">
        <v>40</v>
      </c>
      <c r="E68" s="33"/>
      <c r="F68" s="187" t="s">
        <v>44</v>
      </c>
      <c r="G68" s="244">
        <v>0</v>
      </c>
      <c r="H68" s="219"/>
      <c r="I68" s="215"/>
      <c r="J68" s="215"/>
      <c r="K68" s="215"/>
      <c r="L68" s="215"/>
      <c r="M68" s="245">
        <f t="shared" si="3"/>
        <v>0</v>
      </c>
      <c r="N68" s="216"/>
      <c r="O68" s="245">
        <v>0</v>
      </c>
      <c r="P68" s="245">
        <v>0</v>
      </c>
      <c r="Q68" s="245">
        <v>0</v>
      </c>
      <c r="R68" s="245">
        <v>0</v>
      </c>
      <c r="S68" s="60"/>
      <c r="T68" s="60"/>
      <c r="U68" s="59"/>
      <c r="V68" s="60"/>
    </row>
    <row r="69" spans="1:22" ht="15" customHeight="1" thickBot="1" x14ac:dyDescent="0.25">
      <c r="A69" s="190">
        <v>2</v>
      </c>
      <c r="B69" s="190">
        <v>0</v>
      </c>
      <c r="C69" s="190">
        <v>4</v>
      </c>
      <c r="D69" s="190">
        <v>41</v>
      </c>
      <c r="E69" s="190"/>
      <c r="F69" s="191" t="s">
        <v>45</v>
      </c>
      <c r="G69" s="248">
        <v>0</v>
      </c>
      <c r="H69" s="219"/>
      <c r="I69" s="249"/>
      <c r="J69" s="249"/>
      <c r="K69" s="249"/>
      <c r="L69" s="249"/>
      <c r="M69" s="270">
        <f t="shared" si="3"/>
        <v>0</v>
      </c>
      <c r="N69" s="217"/>
      <c r="O69" s="245">
        <v>0</v>
      </c>
      <c r="P69" s="245">
        <v>0</v>
      </c>
      <c r="Q69" s="245">
        <v>0</v>
      </c>
      <c r="R69" s="245">
        <v>0</v>
      </c>
    </row>
    <row r="70" spans="1:22" ht="6" customHeight="1" thickBot="1" x14ac:dyDescent="0.25">
      <c r="A70" s="250"/>
      <c r="B70" s="73"/>
      <c r="C70" s="73"/>
      <c r="D70" s="73"/>
      <c r="E70" s="73"/>
      <c r="F70" s="73"/>
      <c r="G70" s="251"/>
      <c r="H70" s="230"/>
      <c r="I70" s="200"/>
      <c r="J70" s="200"/>
      <c r="K70" s="200"/>
      <c r="L70" s="200"/>
      <c r="M70" s="231"/>
      <c r="N70" s="231"/>
      <c r="O70" s="252"/>
      <c r="P70" s="253"/>
      <c r="Q70" s="253"/>
      <c r="R70" s="254"/>
    </row>
    <row r="71" spans="1:22" x14ac:dyDescent="0.2">
      <c r="A71" s="108"/>
      <c r="B71" s="74"/>
      <c r="C71" s="74"/>
      <c r="D71" s="74"/>
      <c r="E71" s="74"/>
      <c r="F71" s="74"/>
      <c r="G71" s="255"/>
      <c r="H71" s="225"/>
      <c r="I71" s="226"/>
      <c r="J71" s="226"/>
      <c r="K71" s="226"/>
      <c r="L71" s="226"/>
      <c r="M71" s="227"/>
      <c r="N71" s="227"/>
      <c r="O71" s="226"/>
      <c r="P71" s="226"/>
      <c r="Q71" s="226"/>
      <c r="R71" s="256"/>
    </row>
    <row r="72" spans="1:22" x14ac:dyDescent="0.2">
      <c r="A72" s="115"/>
      <c r="B72" s="73"/>
      <c r="C72" s="73"/>
      <c r="D72" s="73"/>
      <c r="E72" s="73"/>
      <c r="F72" s="73"/>
      <c r="G72" s="257"/>
      <c r="H72" s="230"/>
      <c r="I72" s="200"/>
      <c r="J72" s="200"/>
      <c r="K72" s="200"/>
      <c r="L72" s="200"/>
      <c r="M72" s="231"/>
      <c r="N72" s="231"/>
      <c r="O72" s="200"/>
      <c r="P72" s="200"/>
      <c r="Q72" s="200"/>
      <c r="R72" s="258"/>
    </row>
    <row r="73" spans="1:22" x14ac:dyDescent="0.2">
      <c r="A73" s="115"/>
      <c r="B73" s="73"/>
      <c r="C73" s="73"/>
      <c r="D73" s="73"/>
      <c r="E73" s="73"/>
      <c r="F73" s="73"/>
      <c r="G73" s="257"/>
      <c r="H73" s="230"/>
      <c r="I73" s="200"/>
      <c r="J73" s="200"/>
      <c r="K73" s="200"/>
      <c r="L73" s="200"/>
      <c r="M73" s="231"/>
      <c r="N73" s="231"/>
      <c r="O73" s="200"/>
      <c r="P73" s="200"/>
      <c r="Q73" s="200"/>
      <c r="R73" s="258"/>
    </row>
    <row r="74" spans="1:22" x14ac:dyDescent="0.2">
      <c r="A74" s="117"/>
      <c r="B74" s="73"/>
      <c r="C74" s="73"/>
      <c r="D74" s="73"/>
      <c r="E74" s="118" t="s">
        <v>93</v>
      </c>
      <c r="F74" s="73"/>
      <c r="G74" s="257"/>
      <c r="H74" s="230"/>
      <c r="I74" s="200"/>
      <c r="J74" s="200"/>
      <c r="K74" s="200"/>
      <c r="L74" s="200"/>
      <c r="M74" s="118" t="s">
        <v>85</v>
      </c>
      <c r="N74" s="231"/>
      <c r="O74" s="200"/>
      <c r="P74" s="259"/>
      <c r="Q74" s="200"/>
      <c r="R74" s="258"/>
    </row>
    <row r="75" spans="1:22" x14ac:dyDescent="0.2">
      <c r="A75" s="115"/>
      <c r="B75" s="73"/>
      <c r="C75" s="73"/>
      <c r="D75" s="73"/>
      <c r="E75" s="73" t="s">
        <v>94</v>
      </c>
      <c r="F75" s="73"/>
      <c r="G75" s="257"/>
      <c r="H75" s="230"/>
      <c r="I75" s="200"/>
      <c r="J75" s="200"/>
      <c r="K75" s="200"/>
      <c r="L75" s="200"/>
      <c r="M75" s="107" t="s">
        <v>91</v>
      </c>
      <c r="N75" s="231"/>
      <c r="O75" s="200"/>
      <c r="P75" s="231"/>
      <c r="Q75" s="200"/>
      <c r="R75" s="258"/>
    </row>
    <row r="76" spans="1:22" ht="12.75" thickBot="1" x14ac:dyDescent="0.25">
      <c r="A76" s="120"/>
      <c r="B76" s="75"/>
      <c r="C76" s="75"/>
      <c r="D76" s="75"/>
      <c r="E76" s="75"/>
      <c r="F76" s="75"/>
      <c r="G76" s="260"/>
      <c r="H76" s="232"/>
      <c r="I76" s="233"/>
      <c r="J76" s="233"/>
      <c r="K76" s="233"/>
      <c r="L76" s="233"/>
      <c r="M76" s="124" t="s">
        <v>86</v>
      </c>
      <c r="N76" s="234"/>
      <c r="O76" s="233"/>
      <c r="P76" s="233"/>
      <c r="Q76" s="233"/>
      <c r="R76" s="26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1"/>
  </sheetPr>
  <dimension ref="A1:Y93"/>
  <sheetViews>
    <sheetView topLeftCell="A79" workbookViewId="0">
      <selection activeCell="I98" sqref="I98:I101"/>
    </sheetView>
  </sheetViews>
  <sheetFormatPr baseColWidth="10" defaultColWidth="11.5703125" defaultRowHeight="12" x14ac:dyDescent="0.2"/>
  <cols>
    <col min="1" max="1" width="4.7109375" style="76" customWidth="1"/>
    <col min="2" max="2" width="5" style="76" customWidth="1"/>
    <col min="3" max="3" width="4.85546875" style="76" bestFit="1" customWidth="1"/>
    <col min="4" max="4" width="6.85546875" style="76" customWidth="1"/>
    <col min="5" max="5" width="5.28515625" style="76" customWidth="1"/>
    <col min="6" max="6" width="42.42578125" style="76" customWidth="1"/>
    <col min="7" max="7" width="15" style="77" customWidth="1"/>
    <col min="8" max="8" width="1.7109375" style="78" customWidth="1"/>
    <col min="9" max="9" width="12.85546875" style="79" customWidth="1"/>
    <col min="10" max="10" width="11.85546875" style="79" customWidth="1"/>
    <col min="11" max="11" width="12.5703125" style="79" customWidth="1"/>
    <col min="12" max="12" width="11.5703125" style="79" customWidth="1"/>
    <col min="13" max="13" width="13.85546875" style="79" customWidth="1"/>
    <col min="14" max="14" width="1.7109375" style="81" customWidth="1"/>
    <col min="15" max="15" width="15.28515625" style="79" customWidth="1"/>
    <col min="16" max="16" width="14.28515625" style="79" customWidth="1"/>
    <col min="17" max="17" width="15.85546875" style="79" customWidth="1"/>
    <col min="18" max="18" width="15.5703125" style="79" customWidth="1"/>
    <col min="19" max="19" width="1.7109375" style="83" customWidth="1"/>
    <col min="20" max="21" width="14.42578125" style="83" customWidth="1"/>
    <col min="22" max="22" width="12.7109375" style="83" customWidth="1"/>
    <col min="23" max="23" width="12" style="76" customWidth="1"/>
    <col min="24" max="24" width="13.140625" style="76" bestFit="1" customWidth="1"/>
    <col min="25" max="25" width="18.85546875" style="285" customWidth="1"/>
    <col min="26" max="16384" width="11.5703125" style="76"/>
  </cols>
  <sheetData>
    <row r="1" spans="1:25" x14ac:dyDescent="0.2">
      <c r="A1" s="295" t="s">
        <v>0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</row>
    <row r="2" spans="1:25" x14ac:dyDescent="0.2">
      <c r="A2" s="295" t="s">
        <v>1</v>
      </c>
      <c r="B2" s="295"/>
      <c r="C2" s="295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</row>
    <row r="3" spans="1:25" x14ac:dyDescent="0.2">
      <c r="A3" s="295" t="s">
        <v>67</v>
      </c>
      <c r="B3" s="295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</row>
    <row r="4" spans="1:25" ht="12.75" thickBot="1" x14ac:dyDescent="0.25">
      <c r="F4" s="68"/>
      <c r="J4" s="79">
        <f>+I8-J8</f>
        <v>0</v>
      </c>
      <c r="K4" s="80"/>
      <c r="L4" s="80"/>
      <c r="P4" s="160"/>
      <c r="Q4" s="82"/>
      <c r="S4" s="77"/>
      <c r="T4" s="77"/>
    </row>
    <row r="5" spans="1:25" s="87" customFormat="1" ht="21" customHeight="1" thickBot="1" x14ac:dyDescent="0.25">
      <c r="A5" s="297" t="s">
        <v>3</v>
      </c>
      <c r="B5" s="297" t="s">
        <v>4</v>
      </c>
      <c r="C5" s="297" t="s">
        <v>5</v>
      </c>
      <c r="D5" s="297" t="s">
        <v>6</v>
      </c>
      <c r="E5" s="297" t="s">
        <v>7</v>
      </c>
      <c r="F5" s="297" t="s">
        <v>8</v>
      </c>
      <c r="G5" s="309" t="s">
        <v>9</v>
      </c>
      <c r="H5" s="84"/>
      <c r="I5" s="311" t="s">
        <v>10</v>
      </c>
      <c r="J5" s="311"/>
      <c r="K5" s="309" t="s">
        <v>11</v>
      </c>
      <c r="L5" s="309" t="s">
        <v>12</v>
      </c>
      <c r="M5" s="309" t="s">
        <v>13</v>
      </c>
      <c r="N5" s="85"/>
      <c r="O5" s="309" t="s">
        <v>96</v>
      </c>
      <c r="P5" s="309"/>
      <c r="Q5" s="309"/>
      <c r="R5" s="309"/>
      <c r="S5" s="86"/>
      <c r="T5" s="309" t="s">
        <v>66</v>
      </c>
      <c r="U5" s="309"/>
      <c r="V5" s="309"/>
      <c r="W5" s="309"/>
      <c r="Y5" s="286"/>
    </row>
    <row r="6" spans="1:25" s="87" customFormat="1" ht="24.75" thickBot="1" x14ac:dyDescent="0.25">
      <c r="A6" s="298"/>
      <c r="B6" s="298"/>
      <c r="C6" s="298"/>
      <c r="D6" s="298"/>
      <c r="E6" s="298"/>
      <c r="F6" s="298"/>
      <c r="G6" s="310"/>
      <c r="H6" s="84"/>
      <c r="I6" s="88" t="s">
        <v>14</v>
      </c>
      <c r="J6" s="89" t="s">
        <v>15</v>
      </c>
      <c r="K6" s="310"/>
      <c r="L6" s="310"/>
      <c r="M6" s="310"/>
      <c r="N6" s="85"/>
      <c r="O6" s="15" t="s">
        <v>16</v>
      </c>
      <c r="P6" s="15" t="s">
        <v>17</v>
      </c>
      <c r="Q6" s="15" t="s">
        <v>18</v>
      </c>
      <c r="R6" s="15" t="s">
        <v>19</v>
      </c>
      <c r="S6" s="86"/>
      <c r="T6" s="15" t="s">
        <v>68</v>
      </c>
      <c r="U6" s="15" t="s">
        <v>69</v>
      </c>
      <c r="V6" s="15" t="s">
        <v>70</v>
      </c>
      <c r="W6" s="15" t="s">
        <v>71</v>
      </c>
      <c r="Y6" s="286"/>
    </row>
    <row r="7" spans="1:25" x14ac:dyDescent="0.2">
      <c r="A7" s="69"/>
      <c r="B7" s="69"/>
      <c r="C7" s="69"/>
      <c r="D7" s="69"/>
      <c r="E7" s="69"/>
      <c r="F7" s="69"/>
      <c r="G7" s="90"/>
      <c r="H7" s="91"/>
      <c r="I7" s="90"/>
      <c r="J7" s="90"/>
      <c r="K7" s="90">
        <f>+I8-J8</f>
        <v>0</v>
      </c>
      <c r="L7" s="90"/>
      <c r="M7" s="92"/>
      <c r="N7" s="38"/>
      <c r="O7" s="92"/>
      <c r="P7" s="92"/>
      <c r="Q7" s="93"/>
      <c r="R7" s="93"/>
      <c r="T7" s="92"/>
      <c r="U7" s="92"/>
      <c r="V7" s="93"/>
      <c r="W7" s="93"/>
    </row>
    <row r="8" spans="1:25" x14ac:dyDescent="0.2">
      <c r="A8" s="71"/>
      <c r="B8" s="71"/>
      <c r="C8" s="71"/>
      <c r="D8" s="71"/>
      <c r="E8" s="71"/>
      <c r="F8" s="70" t="s">
        <v>81</v>
      </c>
      <c r="G8" s="211">
        <f>+G10+G81</f>
        <v>12044640406</v>
      </c>
      <c r="H8" s="211"/>
      <c r="I8" s="211">
        <f>+I10+I81</f>
        <v>178481608</v>
      </c>
      <c r="J8" s="213">
        <f>+J10+J81</f>
        <v>178481608</v>
      </c>
      <c r="K8" s="213">
        <f>+K10+K81</f>
        <v>0</v>
      </c>
      <c r="L8" s="213">
        <f>+L10+L81</f>
        <v>0</v>
      </c>
      <c r="M8" s="211">
        <f>+M10+M81</f>
        <v>12044640406</v>
      </c>
      <c r="N8" s="213"/>
      <c r="O8" s="211">
        <f>+O10+O81</f>
        <v>10570460753</v>
      </c>
      <c r="P8" s="211">
        <f>+P10+P81</f>
        <v>10570460753</v>
      </c>
      <c r="Q8" s="211">
        <f>+Q10+Q81</f>
        <v>10481310374</v>
      </c>
      <c r="R8" s="211">
        <f>+R10+R81</f>
        <v>10481310374</v>
      </c>
      <c r="T8" s="38">
        <f>+M8-O8</f>
        <v>1474179653</v>
      </c>
      <c r="U8" s="38">
        <f>+O8-P8</f>
        <v>0</v>
      </c>
      <c r="V8" s="38">
        <f>+P8-Q8</f>
        <v>89150379</v>
      </c>
      <c r="W8" s="38">
        <f>+Q8-R8</f>
        <v>0</v>
      </c>
      <c r="X8" s="281"/>
    </row>
    <row r="9" spans="1:25" x14ac:dyDescent="0.2">
      <c r="A9" s="71"/>
      <c r="B9" s="71"/>
      <c r="C9" s="71"/>
      <c r="D9" s="71"/>
      <c r="E9" s="71"/>
      <c r="F9" s="71"/>
      <c r="G9" s="94"/>
      <c r="H9" s="91"/>
      <c r="I9" s="94"/>
      <c r="J9" s="94"/>
      <c r="K9" s="94"/>
      <c r="L9" s="94"/>
      <c r="M9" s="38"/>
      <c r="N9" s="38"/>
      <c r="O9" s="38"/>
      <c r="P9" s="38"/>
      <c r="Q9" s="97"/>
      <c r="R9" s="97"/>
      <c r="T9" s="38"/>
      <c r="U9" s="38"/>
      <c r="V9" s="97"/>
      <c r="W9" s="97"/>
      <c r="X9" s="281" t="s">
        <v>92</v>
      </c>
    </row>
    <row r="10" spans="1:25" x14ac:dyDescent="0.2">
      <c r="A10" s="33">
        <v>1</v>
      </c>
      <c r="B10" s="71"/>
      <c r="C10" s="71"/>
      <c r="D10" s="71"/>
      <c r="E10" s="71"/>
      <c r="F10" s="70" t="s">
        <v>20</v>
      </c>
      <c r="G10" s="94">
        <f>+G12+G54+G75</f>
        <v>8003640406</v>
      </c>
      <c r="H10" s="91"/>
      <c r="I10" s="94">
        <f>+I12+I54+I75</f>
        <v>178481608</v>
      </c>
      <c r="J10" s="94">
        <f>+J12+J54+J75</f>
        <v>178481608</v>
      </c>
      <c r="K10" s="94">
        <f>+K12+K54+K75</f>
        <v>0</v>
      </c>
      <c r="L10" s="94">
        <f>+L12+L54+L75</f>
        <v>0</v>
      </c>
      <c r="M10" s="182">
        <f>+G10-I10+J10+L10-K10</f>
        <v>8003640406</v>
      </c>
      <c r="N10" s="38"/>
      <c r="O10" s="94">
        <f>+O12+O54+O75</f>
        <v>6923428072</v>
      </c>
      <c r="P10" s="94">
        <f>+P12+P54+P75</f>
        <v>6923428072</v>
      </c>
      <c r="Q10" s="94">
        <f>+Q12+Q54+Q75</f>
        <v>6923428072</v>
      </c>
      <c r="R10" s="94">
        <f>+R12+R54+R75</f>
        <v>6923428072</v>
      </c>
      <c r="T10" s="38">
        <f>+M10-O10</f>
        <v>1080212334</v>
      </c>
      <c r="U10" s="38">
        <f>+O10-P10</f>
        <v>0</v>
      </c>
      <c r="V10" s="38">
        <f>+P10-Q10</f>
        <v>0</v>
      </c>
      <c r="W10" s="38">
        <f>+Q10-R10</f>
        <v>0</v>
      </c>
      <c r="X10" s="68"/>
    </row>
    <row r="11" spans="1:25" x14ac:dyDescent="0.2">
      <c r="A11" s="71"/>
      <c r="B11" s="71"/>
      <c r="C11" s="71"/>
      <c r="D11" s="71"/>
      <c r="E11" s="71"/>
      <c r="F11" s="71"/>
      <c r="G11" s="94"/>
      <c r="H11" s="91"/>
      <c r="I11" s="38"/>
      <c r="J11" s="38"/>
      <c r="K11" s="38"/>
      <c r="L11" s="38"/>
      <c r="M11" s="94"/>
      <c r="N11" s="38"/>
      <c r="O11" s="38"/>
      <c r="P11" s="38"/>
      <c r="Q11" s="38"/>
      <c r="R11" s="38"/>
      <c r="T11" s="38"/>
      <c r="U11" s="38"/>
      <c r="V11" s="38"/>
      <c r="W11" s="38"/>
      <c r="X11" s="68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5">
        <f>+G14+G44+G47</f>
        <v>5648156093</v>
      </c>
      <c r="H12" s="35"/>
      <c r="I12" s="55">
        <f>+I14+I44+I47</f>
        <v>80914608</v>
      </c>
      <c r="J12" s="55">
        <f>+J14+J44+J47</f>
        <v>80914608</v>
      </c>
      <c r="K12" s="34">
        <f>+K14+K44+K47</f>
        <v>0</v>
      </c>
      <c r="L12" s="34">
        <f>+L14+L44+L47</f>
        <v>0</v>
      </c>
      <c r="M12" s="182">
        <f>+G12-I12+J12+L12-K12</f>
        <v>5648156093</v>
      </c>
      <c r="N12" s="95"/>
      <c r="O12" s="36">
        <f>+O14+O44+O47</f>
        <v>5033696693</v>
      </c>
      <c r="P12" s="36">
        <f>+P14+P44+P47</f>
        <v>5033696693</v>
      </c>
      <c r="Q12" s="36">
        <f>+Q14+Q44+Q47</f>
        <v>5033696693</v>
      </c>
      <c r="R12" s="36">
        <f>+R14+R44+R47</f>
        <v>5033696693</v>
      </c>
      <c r="S12" s="37"/>
      <c r="T12" s="38">
        <f>+M12-O12</f>
        <v>614459400</v>
      </c>
      <c r="U12" s="38">
        <f>+O12-P12</f>
        <v>0</v>
      </c>
      <c r="V12" s="38">
        <f>+P12-Q12</f>
        <v>0</v>
      </c>
      <c r="W12" s="38">
        <f>+Q12-R12</f>
        <v>0</v>
      </c>
      <c r="Y12" s="287"/>
    </row>
    <row r="13" spans="1:25" x14ac:dyDescent="0.2">
      <c r="A13" s="96"/>
      <c r="B13" s="96"/>
      <c r="C13" s="96"/>
      <c r="D13" s="96"/>
      <c r="E13" s="96"/>
      <c r="F13" s="31"/>
      <c r="G13" s="34"/>
      <c r="H13" s="35"/>
      <c r="I13" s="97"/>
      <c r="J13" s="97"/>
      <c r="K13" s="97"/>
      <c r="L13" s="97"/>
      <c r="M13" s="34"/>
      <c r="N13" s="97"/>
      <c r="O13" s="97"/>
      <c r="P13" s="97"/>
      <c r="Q13" s="97"/>
      <c r="R13" s="97"/>
      <c r="T13" s="97"/>
      <c r="U13" s="97"/>
      <c r="V13" s="97"/>
      <c r="W13" s="97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5">
        <f>+G16+G20+G24+G34+G37</f>
        <v>4010859464</v>
      </c>
      <c r="H14" s="35"/>
      <c r="I14" s="55">
        <f>+I16+I20+I24+I34+I37</f>
        <v>50841078</v>
      </c>
      <c r="J14" s="55">
        <f>+J16+J20+J24+J34+J37+J41</f>
        <v>72714608</v>
      </c>
      <c r="K14" s="34">
        <f>+K16+K20+K24+K34+K37</f>
        <v>0</v>
      </c>
      <c r="L14" s="34">
        <f>+L16+L20+L24+L34+L37</f>
        <v>0</v>
      </c>
      <c r="M14" s="36">
        <f>+G14-I14+J14+L14-K14</f>
        <v>4032732994</v>
      </c>
      <c r="N14" s="36"/>
      <c r="O14" s="36">
        <f>+O16+O20+O24+O34+O37+O41</f>
        <v>3520841366</v>
      </c>
      <c r="P14" s="36">
        <f t="shared" ref="P14:R14" si="0">+P16+P20+P24+P34+P37+P41</f>
        <v>3520841366</v>
      </c>
      <c r="Q14" s="36">
        <f t="shared" si="0"/>
        <v>3520841366</v>
      </c>
      <c r="R14" s="36">
        <f t="shared" si="0"/>
        <v>3520841366</v>
      </c>
      <c r="S14" s="37"/>
      <c r="T14" s="36">
        <f>+M14-O14</f>
        <v>511891628</v>
      </c>
      <c r="U14" s="38">
        <f>+O14-P14</f>
        <v>0</v>
      </c>
      <c r="V14" s="38">
        <f>+P14-Q14</f>
        <v>0</v>
      </c>
      <c r="W14" s="38">
        <f>+Q14-R14</f>
        <v>0</v>
      </c>
      <c r="Y14" s="287"/>
    </row>
    <row r="15" spans="1:25" s="39" customFormat="1" x14ac:dyDescent="0.2">
      <c r="A15" s="33"/>
      <c r="B15" s="33"/>
      <c r="C15" s="33"/>
      <c r="D15" s="33"/>
      <c r="E15" s="33"/>
      <c r="F15" s="31"/>
      <c r="G15" s="193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8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2">
        <f>+G17+G18</f>
        <v>2787223812</v>
      </c>
      <c r="H16" s="35"/>
      <c r="I16" s="34">
        <f>+I17+I18</f>
        <v>6887114</v>
      </c>
      <c r="J16" s="34">
        <f>+J17+J18</f>
        <v>0</v>
      </c>
      <c r="K16" s="34">
        <f>+K17+K18</f>
        <v>0</v>
      </c>
      <c r="L16" s="34">
        <f>+L17+L18</f>
        <v>0</v>
      </c>
      <c r="M16" s="182">
        <f>+G16-I16+J16+L16-K16</f>
        <v>2780336698</v>
      </c>
      <c r="N16" s="36"/>
      <c r="O16" s="36">
        <f>SUM(O17:O18)</f>
        <v>2590579190</v>
      </c>
      <c r="P16" s="36">
        <f>SUM(P17:P18)</f>
        <v>2590579190</v>
      </c>
      <c r="Q16" s="36">
        <f>SUM(Q17:Q18)</f>
        <v>2590579190</v>
      </c>
      <c r="R16" s="36">
        <f>SUM(R17:R18)</f>
        <v>2590579190</v>
      </c>
      <c r="S16" s="37"/>
      <c r="T16" s="38">
        <f>+M16-O16</f>
        <v>189757508</v>
      </c>
      <c r="U16" s="38">
        <f>+O16-P16</f>
        <v>0</v>
      </c>
      <c r="V16" s="38">
        <f>+P16-Q16</f>
        <v>0</v>
      </c>
      <c r="W16" s="38">
        <f>+Q16-R16</f>
        <v>0</v>
      </c>
      <c r="Y16" s="287"/>
    </row>
    <row r="17" spans="1:25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46</v>
      </c>
      <c r="G17" s="98">
        <f>+'REC20'!G17+'REC21'!G15</f>
        <v>2597223812</v>
      </c>
      <c r="H17" s="72"/>
      <c r="I17" s="98">
        <f>+'REC20'!I15+'REC21'!I15</f>
        <v>6887114</v>
      </c>
      <c r="J17" s="98">
        <f>+'REC21'!J15</f>
        <v>0</v>
      </c>
      <c r="K17" s="98">
        <f>+'REC20'!K15+'REC21'!K15</f>
        <v>0</v>
      </c>
      <c r="L17" s="98">
        <f>+'REC20'!L15+'REC21'!L15</f>
        <v>0</v>
      </c>
      <c r="M17" s="185">
        <f>+G17-I17+J17+L17-K17</f>
        <v>2590336698</v>
      </c>
      <c r="N17" s="97"/>
      <c r="O17" s="192">
        <f>'REC20'!O17+'REC21'!O15</f>
        <v>2495094247</v>
      </c>
      <c r="P17" s="192">
        <f>'REC20'!P17+'REC21'!P15</f>
        <v>2495094247</v>
      </c>
      <c r="Q17" s="192">
        <f>'REC20'!Q17+'REC21'!Q15</f>
        <v>2495094247</v>
      </c>
      <c r="R17" s="192">
        <f>'REC20'!R17+'REC21'!R15</f>
        <v>2495094247</v>
      </c>
      <c r="T17" s="99">
        <f>+M17-O17</f>
        <v>95242451</v>
      </c>
      <c r="U17" s="99">
        <f t="shared" ref="U17:W18" si="1">+O17-P17</f>
        <v>0</v>
      </c>
      <c r="V17" s="99">
        <f t="shared" si="1"/>
        <v>0</v>
      </c>
      <c r="W17" s="99">
        <f t="shared" si="1"/>
        <v>0</v>
      </c>
    </row>
    <row r="18" spans="1:25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47</v>
      </c>
      <c r="G18" s="98">
        <f>+'REC20'!G18+'REC21'!G16</f>
        <v>190000000</v>
      </c>
      <c r="H18" s="72"/>
      <c r="I18" s="98">
        <f>+'REC20'!I16+'REC21'!I16</f>
        <v>0</v>
      </c>
      <c r="J18" s="98">
        <f>+'REC20'!J18</f>
        <v>0</v>
      </c>
      <c r="K18" s="98">
        <f>+'REC20'!K16+'REC21'!K16</f>
        <v>0</v>
      </c>
      <c r="L18" s="98">
        <f>+'REC20'!L16+'REC21'!L16</f>
        <v>0</v>
      </c>
      <c r="M18" s="185">
        <f>+G18-I18+J18+L18-K18</f>
        <v>190000000</v>
      </c>
      <c r="N18" s="97"/>
      <c r="O18" s="98">
        <f>+'REC20'!O18+'REC21'!O16</f>
        <v>95484943</v>
      </c>
      <c r="P18" s="98">
        <f>+'REC20'!P18+'REC21'!P16</f>
        <v>95484943</v>
      </c>
      <c r="Q18" s="98">
        <f>+'REC20'!Q18+'REC21'!Q16</f>
        <v>95484943</v>
      </c>
      <c r="R18" s="98">
        <f>+'REC20'!R18+'REC21'!R16</f>
        <v>95484943</v>
      </c>
      <c r="T18" s="99">
        <f>+M18-O18</f>
        <v>94515057</v>
      </c>
      <c r="U18" s="99">
        <f t="shared" si="1"/>
        <v>0</v>
      </c>
      <c r="V18" s="99">
        <f t="shared" si="1"/>
        <v>0</v>
      </c>
      <c r="W18" s="99">
        <f t="shared" si="1"/>
        <v>0</v>
      </c>
    </row>
    <row r="19" spans="1:25" x14ac:dyDescent="0.2">
      <c r="A19" s="96"/>
      <c r="B19" s="96"/>
      <c r="C19" s="96"/>
      <c r="D19" s="96"/>
      <c r="E19" s="96"/>
      <c r="F19" s="22"/>
      <c r="G19" s="98"/>
      <c r="H19" s="72"/>
      <c r="I19" s="97"/>
      <c r="J19" s="97"/>
      <c r="K19" s="97"/>
      <c r="L19" s="97"/>
      <c r="M19" s="98"/>
      <c r="N19" s="97"/>
      <c r="O19" s="97"/>
      <c r="P19" s="97"/>
      <c r="Q19" s="97"/>
      <c r="R19" s="97"/>
      <c r="T19" s="97"/>
      <c r="U19" s="97"/>
      <c r="V19" s="97"/>
      <c r="W19" s="97"/>
    </row>
    <row r="20" spans="1:25" s="39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62">
        <f>+G21+G22</f>
        <v>353890290</v>
      </c>
      <c r="H20" s="35"/>
      <c r="I20" s="34">
        <f>+I21+I22</f>
        <v>0</v>
      </c>
      <c r="J20" s="34">
        <f>+J21+J22</f>
        <v>0</v>
      </c>
      <c r="K20" s="34">
        <f>+K21+K22</f>
        <v>0</v>
      </c>
      <c r="L20" s="34">
        <f>+L21+L22</f>
        <v>0</v>
      </c>
      <c r="M20" s="182">
        <f>+G20-I20+J20+L20-K20</f>
        <v>353890290</v>
      </c>
      <c r="N20" s="36"/>
      <c r="O20" s="36">
        <f>SUM(O21:O22)</f>
        <v>260901502</v>
      </c>
      <c r="P20" s="36">
        <f>SUM(P21:P22)</f>
        <v>260901502</v>
      </c>
      <c r="Q20" s="36">
        <f>SUM(Q21:Q22)</f>
        <v>260901502</v>
      </c>
      <c r="R20" s="36">
        <f>SUM(R21:R22)</f>
        <v>260901502</v>
      </c>
      <c r="S20" s="37"/>
      <c r="T20" s="38">
        <f>+M20-O20</f>
        <v>92988788</v>
      </c>
      <c r="U20" s="38">
        <f>+O20-P20</f>
        <v>0</v>
      </c>
      <c r="V20" s="38">
        <f>+P20-Q20</f>
        <v>0</v>
      </c>
      <c r="W20" s="38">
        <f>+Q20-R20</f>
        <v>0</v>
      </c>
      <c r="Y20" s="287"/>
    </row>
    <row r="21" spans="1:25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48</v>
      </c>
      <c r="G21" s="98">
        <f>+'REC20'!G21+'REC21'!G19</f>
        <v>39450290</v>
      </c>
      <c r="H21" s="72"/>
      <c r="I21" s="98">
        <f>+'REC20'!I21</f>
        <v>0</v>
      </c>
      <c r="J21" s="98">
        <f>+'REC20'!J21+'REC21'!J19</f>
        <v>0</v>
      </c>
      <c r="K21" s="98">
        <f>+'REC20'!K21+'REC21'!K19</f>
        <v>0</v>
      </c>
      <c r="L21" s="98">
        <f>+'REC20'!L19+'REC21'!L19</f>
        <v>0</v>
      </c>
      <c r="M21" s="185">
        <f>+G21-I21+J21+L21-K21</f>
        <v>39450290</v>
      </c>
      <c r="N21" s="97"/>
      <c r="O21" s="98">
        <f>+'REC20'!O21+'REC21'!O19</f>
        <v>2847046</v>
      </c>
      <c r="P21" s="98">
        <f>+'REC20'!P21+'REC21'!P19</f>
        <v>2847046</v>
      </c>
      <c r="Q21" s="98">
        <f>+'REC20'!Q21+'REC21'!Q19</f>
        <v>2847046</v>
      </c>
      <c r="R21" s="98">
        <f>+'REC20'!R21+'REC21'!R19</f>
        <v>2847046</v>
      </c>
      <c r="T21" s="99">
        <f>+M21-O21</f>
        <v>36603244</v>
      </c>
      <c r="U21" s="99">
        <f t="shared" ref="U21:W22" si="2">+O21-P21</f>
        <v>0</v>
      </c>
      <c r="V21" s="99">
        <f t="shared" si="2"/>
        <v>0</v>
      </c>
      <c r="W21" s="99">
        <f t="shared" si="2"/>
        <v>0</v>
      </c>
    </row>
    <row r="22" spans="1:25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49</v>
      </c>
      <c r="G22" s="98">
        <f>+'REC20'!G22+'REC21'!G20</f>
        <v>314440000</v>
      </c>
      <c r="H22" s="72"/>
      <c r="I22" s="98"/>
      <c r="J22" s="98">
        <f>+'REC20'!J20+'REC21'!J20</f>
        <v>0</v>
      </c>
      <c r="K22" s="98">
        <f>+'REC20'!K20+'REC21'!K20</f>
        <v>0</v>
      </c>
      <c r="L22" s="98">
        <f>+'REC20'!L20+'REC21'!L20</f>
        <v>0</v>
      </c>
      <c r="M22" s="185">
        <f>+G22-I22+J22+L22-K22</f>
        <v>314440000</v>
      </c>
      <c r="N22" s="97"/>
      <c r="O22" s="98">
        <f>+'REC20'!O22+'REC21'!O20</f>
        <v>258054456</v>
      </c>
      <c r="P22" s="98">
        <f>+'REC20'!P22+'REC21'!P20</f>
        <v>258054456</v>
      </c>
      <c r="Q22" s="98">
        <f>+'REC20'!Q22+'REC21'!Q20</f>
        <v>258054456</v>
      </c>
      <c r="R22" s="98">
        <f>+'REC20'!R22+'REC21'!R20</f>
        <v>258054456</v>
      </c>
      <c r="T22" s="99">
        <f>+M22-O22</f>
        <v>56385544</v>
      </c>
      <c r="U22" s="99">
        <f t="shared" si="2"/>
        <v>0</v>
      </c>
      <c r="V22" s="99">
        <f t="shared" si="2"/>
        <v>0</v>
      </c>
      <c r="W22" s="99">
        <f t="shared" si="2"/>
        <v>0</v>
      </c>
    </row>
    <row r="23" spans="1:25" x14ac:dyDescent="0.2">
      <c r="A23" s="96"/>
      <c r="B23" s="96"/>
      <c r="C23" s="96"/>
      <c r="D23" s="96"/>
      <c r="E23" s="96"/>
      <c r="F23" s="22"/>
      <c r="G23" s="98"/>
      <c r="H23" s="72"/>
      <c r="I23" s="97"/>
      <c r="J23" s="97"/>
      <c r="K23" s="97"/>
      <c r="L23" s="97"/>
      <c r="M23" s="98"/>
      <c r="N23" s="97"/>
      <c r="O23" s="97"/>
      <c r="P23" s="97"/>
      <c r="Q23" s="97"/>
      <c r="R23" s="97"/>
      <c r="T23" s="97"/>
      <c r="U23" s="97"/>
      <c r="V23" s="97"/>
      <c r="W23" s="97"/>
    </row>
    <row r="24" spans="1:25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55">
        <f>SUM(G25:G32)</f>
        <v>698824735</v>
      </c>
      <c r="H24" s="35"/>
      <c r="I24" s="34">
        <f>SUM(I25:I32)</f>
        <v>43007611</v>
      </c>
      <c r="J24" s="34">
        <f>SUM(J25:J32)</f>
        <v>2600000</v>
      </c>
      <c r="K24" s="34">
        <f>SUM(K25:K32)</f>
        <v>0</v>
      </c>
      <c r="L24" s="34">
        <f>SUM(L25:L32)</f>
        <v>0</v>
      </c>
      <c r="M24" s="182">
        <f>+G24-I24+J24+L24-K24</f>
        <v>658417124</v>
      </c>
      <c r="N24" s="36"/>
      <c r="O24" s="36">
        <f>SUM(O25:O32)</f>
        <v>593688861</v>
      </c>
      <c r="P24" s="36">
        <f>SUM(P25:P32)</f>
        <v>593688861</v>
      </c>
      <c r="Q24" s="36">
        <f>SUM(Q25:Q32)</f>
        <v>593688861</v>
      </c>
      <c r="R24" s="36">
        <f>SUM(R25:R32)</f>
        <v>593688861</v>
      </c>
      <c r="T24" s="38">
        <f>+M24-O24</f>
        <v>64728263</v>
      </c>
      <c r="U24" s="38">
        <f>+O24-P24</f>
        <v>0</v>
      </c>
      <c r="V24" s="38">
        <f>+P24-Q24</f>
        <v>0</v>
      </c>
      <c r="W24" s="38">
        <f>+Q24-R24</f>
        <v>0</v>
      </c>
    </row>
    <row r="25" spans="1:25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50</v>
      </c>
      <c r="G25" s="98">
        <f>+'REC20'!G25+'REC21'!G23</f>
        <v>81513716</v>
      </c>
      <c r="H25" s="72"/>
      <c r="I25" s="98">
        <f>+'REC20'!I23+'REC21'!I23</f>
        <v>0</v>
      </c>
      <c r="J25" s="98">
        <f>+'REC20'!J23+'REC21'!J23</f>
        <v>1110000</v>
      </c>
      <c r="K25" s="98">
        <f>+'REC20'!K23+'REC21'!K23</f>
        <v>0</v>
      </c>
      <c r="L25" s="98">
        <f>+'REC20'!L23+'REC21'!L23</f>
        <v>0</v>
      </c>
      <c r="M25" s="185">
        <f t="shared" ref="M25:M32" si="3">+G25-I25+J25+L25-K25</f>
        <v>82623716</v>
      </c>
      <c r="N25" s="97"/>
      <c r="O25" s="98">
        <f>+'REC20'!O25+'REC21'!O23</f>
        <v>71536158</v>
      </c>
      <c r="P25" s="98">
        <f>+'REC20'!P25+'REC21'!P23</f>
        <v>71536158</v>
      </c>
      <c r="Q25" s="98">
        <f>+'REC20'!Q25+'REC21'!Q23</f>
        <v>71536158</v>
      </c>
      <c r="R25" s="98">
        <f>+'REC20'!R25+'REC21'!R23</f>
        <v>71536158</v>
      </c>
      <c r="T25" s="99">
        <f t="shared" ref="T25:T32" si="4">+M25-O25</f>
        <v>11087558</v>
      </c>
      <c r="U25" s="99">
        <f t="shared" ref="U25:W32" si="5">+O25-P25</f>
        <v>0</v>
      </c>
      <c r="V25" s="99">
        <f t="shared" si="5"/>
        <v>0</v>
      </c>
      <c r="W25" s="99">
        <f t="shared" si="5"/>
        <v>0</v>
      </c>
    </row>
    <row r="26" spans="1:25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51</v>
      </c>
      <c r="G26" s="98">
        <f>+'REC20'!G26+'REC21'!G24</f>
        <v>17850000</v>
      </c>
      <c r="H26" s="72"/>
      <c r="I26" s="98">
        <f>+'REC20'!I26+'REC21'!I26</f>
        <v>0</v>
      </c>
      <c r="J26" s="98">
        <v>0</v>
      </c>
      <c r="K26" s="98">
        <f>+'REC20'!K24+'REC21'!K24</f>
        <v>0</v>
      </c>
      <c r="L26" s="98">
        <f>+'REC20'!L24+'REC21'!L24</f>
        <v>0</v>
      </c>
      <c r="M26" s="185">
        <f t="shared" si="3"/>
        <v>17850000</v>
      </c>
      <c r="N26" s="97"/>
      <c r="O26" s="98">
        <f>+'REC20'!O26+'REC21'!O24</f>
        <v>11200837</v>
      </c>
      <c r="P26" s="98">
        <f>+'REC20'!P26+'REC21'!P24</f>
        <v>11200837</v>
      </c>
      <c r="Q26" s="98">
        <f>+'REC20'!Q26+'REC21'!Q24</f>
        <v>11200837</v>
      </c>
      <c r="R26" s="98">
        <f>+'REC20'!R26+'REC21'!R24</f>
        <v>11200837</v>
      </c>
      <c r="T26" s="99">
        <f t="shared" si="4"/>
        <v>6649163</v>
      </c>
      <c r="U26" s="99">
        <f t="shared" si="5"/>
        <v>0</v>
      </c>
      <c r="V26" s="99">
        <f t="shared" si="5"/>
        <v>0</v>
      </c>
      <c r="W26" s="99">
        <f t="shared" si="5"/>
        <v>0</v>
      </c>
    </row>
    <row r="27" spans="1:25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52</v>
      </c>
      <c r="G27" s="98">
        <f>+'REC20'!G27+'REC21'!G25</f>
        <v>7716000</v>
      </c>
      <c r="H27" s="72"/>
      <c r="I27" s="98">
        <f>+'REC20'!I25+'REC21'!I25</f>
        <v>0</v>
      </c>
      <c r="J27" s="98">
        <f>+'REC20'!J25+'REC21'!J25</f>
        <v>0</v>
      </c>
      <c r="K27" s="98">
        <f>+'REC20'!K25+'REC21'!K25</f>
        <v>0</v>
      </c>
      <c r="L27" s="98">
        <f>+'REC20'!L25+'REC21'!L25</f>
        <v>0</v>
      </c>
      <c r="M27" s="185">
        <f t="shared" si="3"/>
        <v>7716000</v>
      </c>
      <c r="N27" s="97"/>
      <c r="O27" s="98">
        <f>+'REC20'!O27+'REC21'!O25</f>
        <v>6987307</v>
      </c>
      <c r="P27" s="98">
        <f>+'REC20'!P27+'REC21'!P25</f>
        <v>6987307</v>
      </c>
      <c r="Q27" s="98">
        <f>+'REC20'!Q27+'REC21'!Q25</f>
        <v>6987307</v>
      </c>
      <c r="R27" s="98">
        <f>+'REC20'!R27+'REC21'!R25</f>
        <v>6987307</v>
      </c>
      <c r="T27" s="99">
        <f t="shared" si="4"/>
        <v>728693</v>
      </c>
      <c r="U27" s="99">
        <f t="shared" si="5"/>
        <v>0</v>
      </c>
      <c r="V27" s="99">
        <f t="shared" si="5"/>
        <v>0</v>
      </c>
      <c r="W27" s="99">
        <f t="shared" si="5"/>
        <v>0</v>
      </c>
    </row>
    <row r="28" spans="1:25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53</v>
      </c>
      <c r="G28" s="98">
        <f>+'REC20'!G28+'REC21'!G26</f>
        <v>9177000</v>
      </c>
      <c r="H28" s="72"/>
      <c r="I28" s="98">
        <v>0</v>
      </c>
      <c r="J28" s="98">
        <f>+'REC20'!J28+'REC21'!J28</f>
        <v>0</v>
      </c>
      <c r="K28" s="98">
        <f>+'REC20'!K26+'REC21'!K26</f>
        <v>0</v>
      </c>
      <c r="L28" s="98">
        <f>+'REC20'!L26+'REC21'!L26</f>
        <v>0</v>
      </c>
      <c r="M28" s="185">
        <f t="shared" si="3"/>
        <v>9177000</v>
      </c>
      <c r="N28" s="97"/>
      <c r="O28" s="98">
        <f>+'REC20'!O28+'REC21'!O26</f>
        <v>8270723</v>
      </c>
      <c r="P28" s="98">
        <f>+'REC20'!P28+'REC21'!P26</f>
        <v>8270723</v>
      </c>
      <c r="Q28" s="98">
        <f>+'REC20'!Q28+'REC21'!Q26</f>
        <v>8270723</v>
      </c>
      <c r="R28" s="98">
        <f>+'REC20'!R28+'REC21'!R26</f>
        <v>8270723</v>
      </c>
      <c r="T28" s="99">
        <f t="shared" si="4"/>
        <v>906277</v>
      </c>
      <c r="U28" s="99">
        <f t="shared" si="5"/>
        <v>0</v>
      </c>
      <c r="V28" s="99">
        <f t="shared" si="5"/>
        <v>0</v>
      </c>
      <c r="W28" s="99">
        <f t="shared" si="5"/>
        <v>0</v>
      </c>
    </row>
    <row r="29" spans="1:25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54</v>
      </c>
      <c r="G29" s="98">
        <f>+'REC20'!G29+'REC21'!G27</f>
        <v>147500000</v>
      </c>
      <c r="H29" s="72"/>
      <c r="I29" s="98">
        <f>+'REC20'!I27+'REC21'!I27</f>
        <v>29628731</v>
      </c>
      <c r="J29" s="98">
        <f>+'REC20'!J27+'REC21'!J27</f>
        <v>900000</v>
      </c>
      <c r="K29" s="98">
        <f>+'REC20'!K27+'REC21'!K27</f>
        <v>0</v>
      </c>
      <c r="L29" s="98">
        <f>+'REC20'!L27+'REC21'!L27</f>
        <v>0</v>
      </c>
      <c r="M29" s="185">
        <f t="shared" si="3"/>
        <v>118771269</v>
      </c>
      <c r="N29" s="97"/>
      <c r="O29" s="98">
        <f>+'REC21'!O27+'REC20'!O29</f>
        <v>109779927</v>
      </c>
      <c r="P29" s="98">
        <f>+'REC21'!P27+'REC20'!P29</f>
        <v>109779927</v>
      </c>
      <c r="Q29" s="98">
        <f>+'REC21'!Q27+'REC20'!Q29</f>
        <v>109779927</v>
      </c>
      <c r="R29" s="98">
        <f>+'REC21'!R27+'REC20'!R29</f>
        <v>109779927</v>
      </c>
      <c r="T29" s="99">
        <f t="shared" si="4"/>
        <v>8991342</v>
      </c>
      <c r="U29" s="99">
        <f t="shared" si="5"/>
        <v>0</v>
      </c>
      <c r="V29" s="99">
        <f t="shared" si="5"/>
        <v>0</v>
      </c>
      <c r="W29" s="99">
        <f t="shared" si="5"/>
        <v>0</v>
      </c>
    </row>
    <row r="30" spans="1:25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55</v>
      </c>
      <c r="G30" s="98">
        <f>+'REC20'!G30+'REC21'!G28</f>
        <v>122423000</v>
      </c>
      <c r="H30" s="72"/>
      <c r="I30" s="98">
        <f>+'REC21'!I28</f>
        <v>11678880</v>
      </c>
      <c r="J30" s="98">
        <f>+'REC20'!J30</f>
        <v>0</v>
      </c>
      <c r="K30" s="98">
        <f>+'REC20'!K28+'REC21'!K28</f>
        <v>0</v>
      </c>
      <c r="L30" s="98">
        <f>+'REC20'!L28+'REC21'!L28</f>
        <v>0</v>
      </c>
      <c r="M30" s="185">
        <f t="shared" si="3"/>
        <v>110744120</v>
      </c>
      <c r="N30" s="97"/>
      <c r="O30" s="98">
        <f>+'REC20'!O30+'REC21'!O28</f>
        <v>90321099</v>
      </c>
      <c r="P30" s="98">
        <f>+'REC20'!P30+'REC21'!P28</f>
        <v>90321099</v>
      </c>
      <c r="Q30" s="98">
        <f>+'REC20'!Q30+'REC21'!Q28</f>
        <v>90321099</v>
      </c>
      <c r="R30" s="98">
        <f>+'REC20'!R30+'REC21'!R28</f>
        <v>90321099</v>
      </c>
      <c r="T30" s="99">
        <f t="shared" si="4"/>
        <v>20423021</v>
      </c>
      <c r="U30" s="99">
        <f t="shared" si="5"/>
        <v>0</v>
      </c>
      <c r="V30" s="99">
        <f t="shared" si="5"/>
        <v>0</v>
      </c>
      <c r="W30" s="99">
        <f t="shared" si="5"/>
        <v>0</v>
      </c>
    </row>
    <row r="31" spans="1:25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56</v>
      </c>
      <c r="G31" s="98">
        <f>+'REC20'!G31+'REC21'!G29</f>
        <v>258000000</v>
      </c>
      <c r="H31" s="72"/>
      <c r="I31" s="98">
        <f>+'REC20'!I29+'REC21'!I29</f>
        <v>1700000</v>
      </c>
      <c r="J31" s="98">
        <f>+'REC20'!J31</f>
        <v>0</v>
      </c>
      <c r="K31" s="98">
        <f>+'REC20'!K29+'REC21'!K29</f>
        <v>0</v>
      </c>
      <c r="L31" s="98">
        <f>+'REC20'!L29+'REC21'!L29</f>
        <v>0</v>
      </c>
      <c r="M31" s="185">
        <f t="shared" si="3"/>
        <v>256300000</v>
      </c>
      <c r="N31" s="97"/>
      <c r="O31" s="98">
        <f>+'REC20'!O31+'REC21'!O29</f>
        <v>245309904</v>
      </c>
      <c r="P31" s="98">
        <f>+'REC20'!P31+'REC21'!P29</f>
        <v>245309904</v>
      </c>
      <c r="Q31" s="98">
        <f>+'REC20'!Q31+'REC21'!Q29</f>
        <v>245309904</v>
      </c>
      <c r="R31" s="98">
        <f>+'REC20'!R31+'REC21'!R29</f>
        <v>245309904</v>
      </c>
      <c r="T31" s="99">
        <f t="shared" si="4"/>
        <v>10990096</v>
      </c>
      <c r="U31" s="99">
        <f t="shared" si="5"/>
        <v>0</v>
      </c>
      <c r="V31" s="99">
        <f t="shared" si="5"/>
        <v>0</v>
      </c>
      <c r="W31" s="99">
        <f t="shared" si="5"/>
        <v>0</v>
      </c>
    </row>
    <row r="32" spans="1:25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57</v>
      </c>
      <c r="G32" s="98">
        <f>+'REC20'!G32+'REC21'!G30</f>
        <v>54645019</v>
      </c>
      <c r="H32" s="72"/>
      <c r="I32" s="98">
        <f>+'REC20'!I32+'REC21'!I32</f>
        <v>0</v>
      </c>
      <c r="J32" s="98">
        <f>+'REC20'!J30+'REC21'!J30</f>
        <v>590000</v>
      </c>
      <c r="K32" s="98">
        <f>+'REC20'!K30+'REC21'!K30</f>
        <v>0</v>
      </c>
      <c r="L32" s="98">
        <f>+'REC20'!L30+'REC21'!L30</f>
        <v>0</v>
      </c>
      <c r="M32" s="185">
        <f t="shared" si="3"/>
        <v>55235019</v>
      </c>
      <c r="N32" s="97"/>
      <c r="O32" s="98">
        <f>+'REC20'!O32+'REC21'!O30</f>
        <v>50282906</v>
      </c>
      <c r="P32" s="98">
        <f>+'REC20'!P32+'REC21'!P30</f>
        <v>50282906</v>
      </c>
      <c r="Q32" s="98">
        <f>+'REC20'!Q32+'REC21'!Q30</f>
        <v>50282906</v>
      </c>
      <c r="R32" s="98">
        <f>+'REC20'!R32+'REC21'!R30</f>
        <v>50282906</v>
      </c>
      <c r="T32" s="99">
        <f t="shared" si="4"/>
        <v>4952113</v>
      </c>
      <c r="U32" s="99">
        <f t="shared" si="5"/>
        <v>0</v>
      </c>
      <c r="V32" s="99">
        <f t="shared" si="5"/>
        <v>0</v>
      </c>
      <c r="W32" s="99">
        <f t="shared" si="5"/>
        <v>0</v>
      </c>
    </row>
    <row r="33" spans="1:25" x14ac:dyDescent="0.2">
      <c r="A33" s="96"/>
      <c r="B33" s="96"/>
      <c r="C33" s="96"/>
      <c r="D33" s="96"/>
      <c r="E33" s="96"/>
      <c r="F33" s="22"/>
      <c r="G33" s="98"/>
      <c r="H33" s="72"/>
      <c r="I33" s="97"/>
      <c r="J33" s="97"/>
      <c r="K33" s="97"/>
      <c r="L33" s="97"/>
      <c r="M33" s="98"/>
      <c r="N33" s="97"/>
      <c r="O33" s="97"/>
      <c r="P33" s="97"/>
      <c r="Q33" s="97"/>
      <c r="R33" s="97"/>
      <c r="T33" s="97"/>
      <c r="U33" s="97"/>
      <c r="V33" s="97"/>
      <c r="W33" s="97"/>
    </row>
    <row r="34" spans="1:25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55">
        <f>+G35</f>
        <v>163051320</v>
      </c>
      <c r="H34" s="35"/>
      <c r="I34" s="34">
        <f>+I35</f>
        <v>0</v>
      </c>
      <c r="J34" s="34">
        <f>+J35</f>
        <v>0</v>
      </c>
      <c r="K34" s="34">
        <f>+K35</f>
        <v>0</v>
      </c>
      <c r="L34" s="34">
        <f>+L35</f>
        <v>0</v>
      </c>
      <c r="M34" s="182">
        <f>+G34-I34+J34+L34-K34</f>
        <v>163051320</v>
      </c>
      <c r="N34" s="36"/>
      <c r="O34" s="36">
        <f>+O35</f>
        <v>0</v>
      </c>
      <c r="P34" s="36">
        <f>+P35</f>
        <v>0</v>
      </c>
      <c r="Q34" s="36">
        <f>+Q35</f>
        <v>0</v>
      </c>
      <c r="R34" s="36">
        <f>+R35</f>
        <v>0</v>
      </c>
      <c r="T34" s="34">
        <f>+M34-O34</f>
        <v>163051320</v>
      </c>
      <c r="U34" s="38">
        <f t="shared" ref="U34:W35" si="6">+O34-P34</f>
        <v>0</v>
      </c>
      <c r="V34" s="38">
        <f t="shared" si="6"/>
        <v>0</v>
      </c>
      <c r="W34" s="38">
        <f t="shared" si="6"/>
        <v>0</v>
      </c>
    </row>
    <row r="35" spans="1:25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98">
        <f>+'REC20'!G35+'REC21'!G33</f>
        <v>163051320</v>
      </c>
      <c r="H35" s="72"/>
      <c r="I35" s="98">
        <f>+'REC20'!I35</f>
        <v>0</v>
      </c>
      <c r="J35" s="98">
        <f>+'REC20'!J33+'REC21'!J33</f>
        <v>0</v>
      </c>
      <c r="K35" s="98">
        <f>+'REC20'!K33+'REC21'!K33</f>
        <v>0</v>
      </c>
      <c r="L35" s="98">
        <f>+'REC20'!L33+'REC21'!L33</f>
        <v>0</v>
      </c>
      <c r="M35" s="185">
        <f>+G35-I35+J35+L35-K35</f>
        <v>163051320</v>
      </c>
      <c r="N35" s="97"/>
      <c r="O35" s="98">
        <f>+'REC20'!O35+'REC21'!O33</f>
        <v>0</v>
      </c>
      <c r="P35" s="98">
        <f>+'REC20'!P35+'REC21'!P33</f>
        <v>0</v>
      </c>
      <c r="Q35" s="98">
        <f>+'REC20'!Q35+'REC21'!Q33</f>
        <v>0</v>
      </c>
      <c r="R35" s="98">
        <f>+'REC20'!R35+'REC21'!R33</f>
        <v>0</v>
      </c>
      <c r="T35" s="99">
        <f>+M35-O35</f>
        <v>163051320</v>
      </c>
      <c r="U35" s="99">
        <f t="shared" si="6"/>
        <v>0</v>
      </c>
      <c r="V35" s="99">
        <f t="shared" si="6"/>
        <v>0</v>
      </c>
      <c r="W35" s="99">
        <f t="shared" si="6"/>
        <v>0</v>
      </c>
    </row>
    <row r="36" spans="1:25" x14ac:dyDescent="0.2">
      <c r="A36" s="96"/>
      <c r="B36" s="96"/>
      <c r="C36" s="96"/>
      <c r="D36" s="96"/>
      <c r="E36" s="96"/>
      <c r="F36" s="22"/>
      <c r="G36" s="98"/>
      <c r="H36" s="72"/>
      <c r="I36" s="97"/>
      <c r="J36" s="97"/>
      <c r="K36" s="97"/>
      <c r="L36" s="97"/>
      <c r="M36" s="98"/>
      <c r="N36" s="97"/>
      <c r="O36" s="97"/>
      <c r="P36" s="97"/>
      <c r="Q36" s="97"/>
      <c r="R36" s="97"/>
      <c r="T36" s="97"/>
      <c r="U36" s="97"/>
      <c r="V36" s="97"/>
      <c r="W36" s="97"/>
    </row>
    <row r="37" spans="1:25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55">
        <f>+G38+G39</f>
        <v>7869307</v>
      </c>
      <c r="H37" s="35"/>
      <c r="I37" s="55">
        <f>+I38+I39</f>
        <v>946353</v>
      </c>
      <c r="J37" s="55">
        <f>+J38+J39</f>
        <v>48241078</v>
      </c>
      <c r="K37" s="34">
        <f>+K38+K39</f>
        <v>0</v>
      </c>
      <c r="L37" s="34">
        <f>+L38+L39</f>
        <v>0</v>
      </c>
      <c r="M37" s="55">
        <f t="shared" ref="M37:M39" si="7">+G37-I37+J37+L37-K37</f>
        <v>55164032</v>
      </c>
      <c r="N37" s="95"/>
      <c r="O37" s="36">
        <f>+O38+O39</f>
        <v>53798283</v>
      </c>
      <c r="P37" s="36">
        <f>+P38+P39</f>
        <v>53798283</v>
      </c>
      <c r="Q37" s="36">
        <f>+Q38+Q39</f>
        <v>53798283</v>
      </c>
      <c r="R37" s="36">
        <f>+R38+R39</f>
        <v>53798283</v>
      </c>
      <c r="T37" s="34">
        <f>+M37-O37</f>
        <v>1365749</v>
      </c>
      <c r="U37" s="34">
        <f>+O37-P37</f>
        <v>0</v>
      </c>
      <c r="V37" s="34">
        <f>+P37-Q37</f>
        <v>0</v>
      </c>
      <c r="W37" s="34">
        <f>+Q37-R37</f>
        <v>0</v>
      </c>
    </row>
    <row r="38" spans="1:25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58</v>
      </c>
      <c r="G38" s="98">
        <f>+'REC20'!G38+'REC21'!G36</f>
        <v>7869307</v>
      </c>
      <c r="H38" s="72"/>
      <c r="I38" s="98">
        <f>+'REC20'!I36+'REC21'!I36</f>
        <v>946353</v>
      </c>
      <c r="J38" s="98">
        <f>+'REC21'!J36</f>
        <v>9075000</v>
      </c>
      <c r="K38" s="98">
        <f>+'REC20'!K36+'REC21'!K36</f>
        <v>0</v>
      </c>
      <c r="L38" s="98">
        <f>+'REC20'!L36+'REC21'!L36</f>
        <v>0</v>
      </c>
      <c r="M38" s="185">
        <f t="shared" si="7"/>
        <v>15997954</v>
      </c>
      <c r="N38" s="97"/>
      <c r="O38" s="98">
        <f>+'REC20'!O38+'REC21'!O36</f>
        <v>14632205</v>
      </c>
      <c r="P38" s="98">
        <f>+'REC20'!P38+'REC21'!P36</f>
        <v>14632205</v>
      </c>
      <c r="Q38" s="98">
        <f>+'REC20'!Q38+'REC21'!Q36</f>
        <v>14632205</v>
      </c>
      <c r="R38" s="98">
        <f>+'REC20'!R38+'REC21'!R36</f>
        <v>14632205</v>
      </c>
      <c r="T38" s="99">
        <f>+M38-O38</f>
        <v>1365749</v>
      </c>
      <c r="U38" s="99">
        <f t="shared" ref="U38:W39" si="8">+O38-P38</f>
        <v>0</v>
      </c>
      <c r="V38" s="99">
        <f t="shared" si="8"/>
        <v>0</v>
      </c>
      <c r="W38" s="99">
        <f t="shared" si="8"/>
        <v>0</v>
      </c>
    </row>
    <row r="39" spans="1:25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59</v>
      </c>
      <c r="G39" s="98">
        <f>+'REC20'!G39+'REC21'!G37</f>
        <v>0</v>
      </c>
      <c r="H39" s="72"/>
      <c r="I39" s="98">
        <f>+'REC20'!I39+'REC21'!I37</f>
        <v>0</v>
      </c>
      <c r="J39" s="98">
        <f>+'REC21'!J37</f>
        <v>39166078</v>
      </c>
      <c r="K39" s="98">
        <f>+'REC20'!K39+'REC21'!K37</f>
        <v>0</v>
      </c>
      <c r="L39" s="98">
        <f>+'REC20'!L37+'REC21'!L37</f>
        <v>0</v>
      </c>
      <c r="M39" s="185">
        <f t="shared" si="7"/>
        <v>39166078</v>
      </c>
      <c r="N39" s="97"/>
      <c r="O39" s="98">
        <f>+'REC20'!O39+'REC21'!O37</f>
        <v>39166078</v>
      </c>
      <c r="P39" s="98">
        <f>+'REC20'!P39+'REC21'!P37</f>
        <v>39166078</v>
      </c>
      <c r="Q39" s="98">
        <f>+'REC20'!Q39+'REC21'!Q37</f>
        <v>39166078</v>
      </c>
      <c r="R39" s="98">
        <f>+'REC20'!R39+'REC21'!R37</f>
        <v>39166078</v>
      </c>
      <c r="T39" s="99">
        <f>+M39-O39</f>
        <v>0</v>
      </c>
      <c r="U39" s="99">
        <f t="shared" si="8"/>
        <v>0</v>
      </c>
      <c r="V39" s="99">
        <f t="shared" si="8"/>
        <v>0</v>
      </c>
      <c r="W39" s="99">
        <f t="shared" si="8"/>
        <v>0</v>
      </c>
    </row>
    <row r="40" spans="1:25" x14ac:dyDescent="0.2">
      <c r="A40" s="96"/>
      <c r="B40" s="96"/>
      <c r="C40" s="96"/>
      <c r="D40" s="96"/>
      <c r="E40" s="96"/>
      <c r="F40" s="22"/>
      <c r="G40" s="98"/>
      <c r="H40" s="72"/>
      <c r="I40" s="97"/>
      <c r="J40" s="97"/>
      <c r="K40" s="97"/>
      <c r="L40" s="97"/>
      <c r="M40" s="98"/>
      <c r="N40" s="97"/>
      <c r="O40" s="97"/>
      <c r="P40" s="97"/>
      <c r="Q40" s="97"/>
      <c r="R40" s="97"/>
      <c r="T40" s="97"/>
      <c r="U40" s="97"/>
      <c r="V40" s="97"/>
      <c r="W40" s="97"/>
    </row>
    <row r="41" spans="1:25" x14ac:dyDescent="0.2">
      <c r="A41" s="33">
        <v>1</v>
      </c>
      <c r="B41" s="33">
        <v>0</v>
      </c>
      <c r="C41" s="33">
        <v>1</v>
      </c>
      <c r="D41" s="33">
        <v>999</v>
      </c>
      <c r="E41" s="33"/>
      <c r="F41" s="31" t="s">
        <v>90</v>
      </c>
      <c r="G41" s="34">
        <v>0</v>
      </c>
      <c r="H41" s="35"/>
      <c r="I41" s="95"/>
      <c r="J41" s="95">
        <f>+'REC20'!J41</f>
        <v>21873530</v>
      </c>
      <c r="K41" s="97"/>
      <c r="L41" s="97"/>
      <c r="M41" s="34">
        <f>+'REC20'!M41</f>
        <v>21873530</v>
      </c>
      <c r="N41" s="97"/>
      <c r="O41" s="95">
        <f>+'REC20'!O41</f>
        <v>21873530</v>
      </c>
      <c r="P41" s="95">
        <f>+'REC20'!P41</f>
        <v>21873530</v>
      </c>
      <c r="Q41" s="95">
        <f>+'REC20'!Q41</f>
        <v>21873530</v>
      </c>
      <c r="R41" s="95">
        <f>+'REC20'!R41</f>
        <v>21873530</v>
      </c>
      <c r="T41" s="97">
        <v>0</v>
      </c>
      <c r="U41" s="97">
        <v>0</v>
      </c>
      <c r="V41" s="97">
        <v>0</v>
      </c>
      <c r="W41" s="97">
        <v>0</v>
      </c>
    </row>
    <row r="42" spans="1:25" x14ac:dyDescent="0.2">
      <c r="A42" s="96"/>
      <c r="B42" s="96"/>
      <c r="C42" s="96"/>
      <c r="D42" s="96"/>
      <c r="E42" s="96"/>
      <c r="F42" s="22"/>
      <c r="G42" s="98"/>
      <c r="H42" s="72"/>
      <c r="I42" s="97"/>
      <c r="J42" s="97"/>
      <c r="K42" s="97"/>
      <c r="L42" s="97"/>
      <c r="M42" s="98"/>
      <c r="N42" s="97"/>
      <c r="O42" s="97"/>
      <c r="P42" s="97"/>
      <c r="Q42" s="97"/>
      <c r="R42" s="97"/>
      <c r="T42" s="97"/>
      <c r="U42" s="97"/>
      <c r="V42" s="97"/>
      <c r="W42" s="97"/>
    </row>
    <row r="43" spans="1:25" x14ac:dyDescent="0.2">
      <c r="A43" s="96"/>
      <c r="B43" s="96"/>
      <c r="C43" s="96"/>
      <c r="D43" s="96"/>
      <c r="E43" s="96"/>
      <c r="F43" s="22"/>
      <c r="G43" s="98"/>
      <c r="H43" s="72"/>
      <c r="I43" s="97"/>
      <c r="J43" s="97"/>
      <c r="K43" s="97"/>
      <c r="L43" s="97"/>
      <c r="M43" s="98"/>
      <c r="N43" s="97"/>
      <c r="O43" s="97"/>
      <c r="P43" s="97"/>
      <c r="Q43" s="97"/>
      <c r="R43" s="97"/>
      <c r="T43" s="97"/>
      <c r="U43" s="97"/>
      <c r="V43" s="97"/>
      <c r="W43" s="97"/>
    </row>
    <row r="44" spans="1:25" s="39" customFormat="1" x14ac:dyDescent="0.2">
      <c r="A44" s="33">
        <v>1</v>
      </c>
      <c r="B44" s="33">
        <v>0</v>
      </c>
      <c r="C44" s="33">
        <v>2</v>
      </c>
      <c r="D44" s="33"/>
      <c r="E44" s="33"/>
      <c r="F44" s="31" t="s">
        <v>28</v>
      </c>
      <c r="G44" s="55">
        <f>+G45</f>
        <v>439389056</v>
      </c>
      <c r="H44" s="35"/>
      <c r="I44" s="34">
        <f>+I45</f>
        <v>0</v>
      </c>
      <c r="J44" s="34">
        <f>+J45</f>
        <v>0</v>
      </c>
      <c r="K44" s="34">
        <f>+K45</f>
        <v>0</v>
      </c>
      <c r="L44" s="34">
        <f>+L45</f>
        <v>0</v>
      </c>
      <c r="M44" s="182">
        <f>+G44-I44+J44+L44-K44</f>
        <v>439389056</v>
      </c>
      <c r="N44" s="36"/>
      <c r="O44" s="36">
        <f>+O45</f>
        <v>416555300</v>
      </c>
      <c r="P44" s="36">
        <f>+P45</f>
        <v>416555300</v>
      </c>
      <c r="Q44" s="36">
        <f>+Q45</f>
        <v>416555300</v>
      </c>
      <c r="R44" s="36">
        <f>+R45</f>
        <v>416555300</v>
      </c>
      <c r="S44" s="37"/>
      <c r="T44" s="38">
        <f>+M44-O44</f>
        <v>22833756</v>
      </c>
      <c r="U44" s="38">
        <f t="shared" ref="U44:W45" si="9">+O44-P44</f>
        <v>0</v>
      </c>
      <c r="V44" s="38">
        <f t="shared" si="9"/>
        <v>0</v>
      </c>
      <c r="W44" s="38">
        <f t="shared" si="9"/>
        <v>0</v>
      </c>
      <c r="Y44" s="287"/>
    </row>
    <row r="45" spans="1:25" x14ac:dyDescent="0.2">
      <c r="A45" s="96">
        <v>1</v>
      </c>
      <c r="B45" s="96">
        <v>0</v>
      </c>
      <c r="C45" s="96">
        <v>2</v>
      </c>
      <c r="D45" s="96">
        <v>14</v>
      </c>
      <c r="E45" s="96"/>
      <c r="F45" s="22" t="s">
        <v>60</v>
      </c>
      <c r="G45" s="98">
        <f>+'REC20'!G44+'REC21'!G40</f>
        <v>439389056</v>
      </c>
      <c r="H45" s="72"/>
      <c r="I45" s="98">
        <f>+'REC20'!I40+'REC21'!I40</f>
        <v>0</v>
      </c>
      <c r="J45" s="98">
        <f>+'REC20'!J44+'REC21'!J40</f>
        <v>0</v>
      </c>
      <c r="K45" s="98">
        <f>+'REC20'!K44+'REC21'!K42</f>
        <v>0</v>
      </c>
      <c r="L45" s="98">
        <f>+'REC20'!L44+'REC21'!L42</f>
        <v>0</v>
      </c>
      <c r="M45" s="185">
        <f>+G45-I45+J45+L45-K45</f>
        <v>439389056</v>
      </c>
      <c r="N45" s="97"/>
      <c r="O45" s="98">
        <f>+'REC20'!O44</f>
        <v>416555300</v>
      </c>
      <c r="P45" s="98">
        <f>+'REC20'!P44+'REC21'!P40</f>
        <v>416555300</v>
      </c>
      <c r="Q45" s="98">
        <f>+'REC20'!Q44+'REC21'!Q40</f>
        <v>416555300</v>
      </c>
      <c r="R45" s="98">
        <f>+'REC20'!R44+'REC21'!R40</f>
        <v>416555300</v>
      </c>
      <c r="T45" s="99">
        <f>+M45-O45</f>
        <v>22833756</v>
      </c>
      <c r="U45" s="99">
        <f t="shared" si="9"/>
        <v>0</v>
      </c>
      <c r="V45" s="99">
        <f t="shared" si="9"/>
        <v>0</v>
      </c>
      <c r="W45" s="99">
        <f t="shared" si="9"/>
        <v>0</v>
      </c>
    </row>
    <row r="46" spans="1:25" x14ac:dyDescent="0.2">
      <c r="A46" s="96"/>
      <c r="B46" s="96"/>
      <c r="C46" s="96"/>
      <c r="D46" s="96"/>
      <c r="E46" s="96"/>
      <c r="F46" s="22"/>
      <c r="G46" s="98"/>
      <c r="H46" s="72"/>
      <c r="I46" s="97"/>
      <c r="J46" s="97"/>
      <c r="K46" s="97"/>
      <c r="L46" s="97"/>
      <c r="M46" s="98"/>
      <c r="N46" s="97"/>
      <c r="O46" s="97"/>
      <c r="P46" s="97"/>
      <c r="Q46" s="97"/>
      <c r="R46" s="97"/>
      <c r="T46" s="97"/>
      <c r="U46" s="97"/>
      <c r="V46" s="97"/>
      <c r="W46" s="97"/>
    </row>
    <row r="47" spans="1:25" s="39" customFormat="1" ht="24" x14ac:dyDescent="0.2">
      <c r="A47" s="33">
        <v>1</v>
      </c>
      <c r="B47" s="33">
        <v>0</v>
      </c>
      <c r="C47" s="33">
        <v>5</v>
      </c>
      <c r="D47" s="33"/>
      <c r="E47" s="33"/>
      <c r="F47" s="31" t="s">
        <v>29</v>
      </c>
      <c r="G47" s="55">
        <f>SUM(G49:G52)</f>
        <v>1197907573</v>
      </c>
      <c r="H47" s="35"/>
      <c r="I47" s="34">
        <f>SUM(I49:I52)</f>
        <v>30073530</v>
      </c>
      <c r="J47" s="34">
        <f>SUM(J49:J52)</f>
        <v>8200000</v>
      </c>
      <c r="K47" s="34">
        <f>SUM(K49:K52)</f>
        <v>0</v>
      </c>
      <c r="L47" s="34">
        <f>SUM(L49:L52)</f>
        <v>0</v>
      </c>
      <c r="M47" s="34">
        <f>+G47-I47+J47+L47-K47</f>
        <v>1176034043</v>
      </c>
      <c r="N47" s="36"/>
      <c r="O47" s="34">
        <f>SUM(O49:O52)</f>
        <v>1096300027</v>
      </c>
      <c r="P47" s="34">
        <f>SUM(P49:P52)</f>
        <v>1096300027</v>
      </c>
      <c r="Q47" s="34">
        <f>SUM(Q49:Q52)</f>
        <v>1096300027</v>
      </c>
      <c r="R47" s="34">
        <f>SUM(R49:R52)</f>
        <v>1096300027</v>
      </c>
      <c r="S47" s="37"/>
      <c r="T47" s="34">
        <f>+M47-O47</f>
        <v>79734016</v>
      </c>
      <c r="U47" s="38">
        <f>+O47-P47</f>
        <v>0</v>
      </c>
      <c r="V47" s="38">
        <f>+P47-Q47</f>
        <v>0</v>
      </c>
      <c r="W47" s="38">
        <f>+Q47-R47</f>
        <v>0</v>
      </c>
      <c r="Y47" s="287"/>
    </row>
    <row r="48" spans="1:25" x14ac:dyDescent="0.2">
      <c r="A48" s="33"/>
      <c r="B48" s="33"/>
      <c r="C48" s="33"/>
      <c r="D48" s="33"/>
      <c r="E48" s="33"/>
      <c r="F48" s="31"/>
      <c r="G48" s="34"/>
      <c r="H48" s="35"/>
      <c r="I48" s="97"/>
      <c r="J48" s="97"/>
      <c r="K48" s="97"/>
      <c r="L48" s="97"/>
      <c r="M48" s="34"/>
      <c r="N48" s="97"/>
      <c r="O48" s="97"/>
      <c r="P48" s="97"/>
      <c r="Q48" s="97"/>
      <c r="R48" s="97"/>
      <c r="T48" s="97"/>
      <c r="U48" s="97"/>
      <c r="V48" s="97"/>
      <c r="W48" s="97"/>
    </row>
    <row r="49" spans="1:25" x14ac:dyDescent="0.2">
      <c r="A49" s="96">
        <v>1</v>
      </c>
      <c r="B49" s="96">
        <v>0</v>
      </c>
      <c r="C49" s="96">
        <v>5</v>
      </c>
      <c r="D49" s="96">
        <v>1</v>
      </c>
      <c r="E49" s="96"/>
      <c r="F49" s="22" t="s">
        <v>30</v>
      </c>
      <c r="G49" s="98">
        <f>+'REC20'!G48+'REC21'!G44</f>
        <v>550685736</v>
      </c>
      <c r="H49" s="72"/>
      <c r="I49" s="98">
        <v>0</v>
      </c>
      <c r="J49" s="98">
        <f>+'REC20'!J48</f>
        <v>0</v>
      </c>
      <c r="K49" s="98">
        <f>+'REC20'!K46+'REC21'!K44</f>
        <v>0</v>
      </c>
      <c r="L49" s="98">
        <f>+'REC20'!L46+'REC21'!L44</f>
        <v>0</v>
      </c>
      <c r="M49" s="185">
        <f>+G49-I49+J49+L49-K49</f>
        <v>550685736</v>
      </c>
      <c r="N49" s="97"/>
      <c r="O49" s="98">
        <f>+'REC20'!O48+'REC21'!O44</f>
        <v>514022000</v>
      </c>
      <c r="P49" s="98">
        <f>+'REC20'!P48+'REC21'!P44</f>
        <v>514022000</v>
      </c>
      <c r="Q49" s="98">
        <f>+'REC20'!Q48+'REC21'!Q44</f>
        <v>514022000</v>
      </c>
      <c r="R49" s="98">
        <f>+'REC20'!R48+'REC21'!R44</f>
        <v>514022000</v>
      </c>
      <c r="T49" s="99">
        <f>+M49-O49</f>
        <v>36663736</v>
      </c>
      <c r="U49" s="99">
        <f t="shared" ref="U49:W52" si="10">+O49-P49</f>
        <v>0</v>
      </c>
      <c r="V49" s="99">
        <f t="shared" si="10"/>
        <v>0</v>
      </c>
      <c r="W49" s="99">
        <f t="shared" si="10"/>
        <v>0</v>
      </c>
    </row>
    <row r="50" spans="1:25" s="39" customFormat="1" x14ac:dyDescent="0.2">
      <c r="A50" s="33">
        <v>1</v>
      </c>
      <c r="B50" s="33">
        <v>0</v>
      </c>
      <c r="C50" s="33">
        <v>5</v>
      </c>
      <c r="D50" s="33">
        <v>2</v>
      </c>
      <c r="E50" s="33"/>
      <c r="F50" s="22" t="s">
        <v>31</v>
      </c>
      <c r="G50" s="98">
        <f>+'REC20'!G49+'REC21'!G45</f>
        <v>476088942</v>
      </c>
      <c r="H50" s="35"/>
      <c r="I50" s="98">
        <f>+'REC20'!I47+'REC21'!I45</f>
        <v>0</v>
      </c>
      <c r="J50" s="98">
        <f>+'REC20'!J47+'REC21'!J45</f>
        <v>0</v>
      </c>
      <c r="K50" s="98">
        <f>+'REC20'!K47+'REC21'!K45</f>
        <v>0</v>
      </c>
      <c r="L50" s="98">
        <f>+'REC20'!L47+'REC21'!L45</f>
        <v>0</v>
      </c>
      <c r="M50" s="185">
        <f>+G50-I50+J50+L50-K50</f>
        <v>476088942</v>
      </c>
      <c r="N50" s="97"/>
      <c r="O50" s="98">
        <f>+'REC20'!O49+'REC21'!O45</f>
        <v>434156027</v>
      </c>
      <c r="P50" s="98">
        <f>+'REC20'!P49+'REC21'!P45</f>
        <v>434156027</v>
      </c>
      <c r="Q50" s="98">
        <f>+'REC20'!Q49+'REC21'!Q45</f>
        <v>434156027</v>
      </c>
      <c r="R50" s="98">
        <f>+'REC20'!R49+'REC21'!R45</f>
        <v>434156027</v>
      </c>
      <c r="S50" s="37"/>
      <c r="T50" s="99">
        <f>+M50-O50</f>
        <v>41932915</v>
      </c>
      <c r="U50" s="99">
        <f t="shared" si="10"/>
        <v>0</v>
      </c>
      <c r="V50" s="99">
        <f t="shared" si="10"/>
        <v>0</v>
      </c>
      <c r="W50" s="99">
        <f t="shared" si="10"/>
        <v>0</v>
      </c>
      <c r="Y50" s="287"/>
    </row>
    <row r="51" spans="1:25" x14ac:dyDescent="0.2">
      <c r="A51" s="33">
        <v>1</v>
      </c>
      <c r="B51" s="33">
        <v>0</v>
      </c>
      <c r="C51" s="33">
        <v>5</v>
      </c>
      <c r="D51" s="33">
        <v>6</v>
      </c>
      <c r="E51" s="71"/>
      <c r="F51" s="22" t="s">
        <v>61</v>
      </c>
      <c r="G51" s="98">
        <f>+'REC20'!G50+'REC21'!G46</f>
        <v>102955860</v>
      </c>
      <c r="H51" s="72"/>
      <c r="I51" s="98">
        <f>+'REC20'!I50</f>
        <v>21873530</v>
      </c>
      <c r="J51" s="98">
        <f>+'REC20'!J50</f>
        <v>8200000</v>
      </c>
      <c r="K51" s="98">
        <f>+'REC20'!K48+'REC21'!K46</f>
        <v>0</v>
      </c>
      <c r="L51" s="98">
        <f>+'REC20'!L48+'REC21'!L46</f>
        <v>0</v>
      </c>
      <c r="M51" s="185">
        <f>+G51-I51+J51+L51-K51</f>
        <v>89282330</v>
      </c>
      <c r="N51" s="97"/>
      <c r="O51" s="98">
        <f>+'REC20'!O50+'REC21'!O46</f>
        <v>88870600</v>
      </c>
      <c r="P51" s="98">
        <f>+'REC20'!P50+'REC21'!P46</f>
        <v>88870600</v>
      </c>
      <c r="Q51" s="98">
        <f>+'REC20'!Q50+'REC21'!Q46</f>
        <v>88870600</v>
      </c>
      <c r="R51" s="98">
        <f>+'REC20'!R50+'REC21'!R46</f>
        <v>88870600</v>
      </c>
      <c r="T51" s="99">
        <f>+M51-O51</f>
        <v>411730</v>
      </c>
      <c r="U51" s="99">
        <f t="shared" si="10"/>
        <v>0</v>
      </c>
      <c r="V51" s="99">
        <f t="shared" si="10"/>
        <v>0</v>
      </c>
      <c r="W51" s="99">
        <f t="shared" si="10"/>
        <v>0</v>
      </c>
    </row>
    <row r="52" spans="1:25" x14ac:dyDescent="0.2">
      <c r="A52" s="33">
        <v>1</v>
      </c>
      <c r="B52" s="33">
        <v>0</v>
      </c>
      <c r="C52" s="33">
        <v>5</v>
      </c>
      <c r="D52" s="33">
        <v>7</v>
      </c>
      <c r="E52" s="71"/>
      <c r="F52" s="22" t="s">
        <v>62</v>
      </c>
      <c r="G52" s="98">
        <f>+'REC20'!G51+'REC21'!G47</f>
        <v>68177035</v>
      </c>
      <c r="H52" s="72"/>
      <c r="I52" s="98">
        <f>+'REC20'!I51</f>
        <v>8200000</v>
      </c>
      <c r="J52" s="98">
        <v>0</v>
      </c>
      <c r="K52" s="98">
        <f>+'REC20'!K49+'REC21'!K47</f>
        <v>0</v>
      </c>
      <c r="L52" s="98">
        <f>+'REC20'!L49+'REC21'!L47</f>
        <v>0</v>
      </c>
      <c r="M52" s="185">
        <f>+G52-I52+J52+L52-K52</f>
        <v>59977035</v>
      </c>
      <c r="N52" s="97"/>
      <c r="O52" s="98">
        <f>+'REC20'!O51+'REC21'!O47</f>
        <v>59251400</v>
      </c>
      <c r="P52" s="98">
        <f>+'REC20'!P51+'REC21'!P47</f>
        <v>59251400</v>
      </c>
      <c r="Q52" s="98">
        <f>+'REC20'!Q51+'REC21'!Q47</f>
        <v>59251400</v>
      </c>
      <c r="R52" s="98">
        <f>+'REC20'!R51+'REC21'!R47</f>
        <v>59251400</v>
      </c>
      <c r="T52" s="99">
        <f>+M52-O52</f>
        <v>725635</v>
      </c>
      <c r="U52" s="99">
        <f t="shared" si="10"/>
        <v>0</v>
      </c>
      <c r="V52" s="99">
        <f t="shared" si="10"/>
        <v>0</v>
      </c>
      <c r="W52" s="99">
        <f t="shared" si="10"/>
        <v>0</v>
      </c>
    </row>
    <row r="53" spans="1:25" x14ac:dyDescent="0.2">
      <c r="A53" s="71"/>
      <c r="B53" s="71"/>
      <c r="C53" s="71"/>
      <c r="D53" s="71"/>
      <c r="E53" s="71"/>
      <c r="F53" s="71"/>
      <c r="G53" s="98"/>
      <c r="H53" s="72"/>
      <c r="I53" s="38"/>
      <c r="J53" s="38"/>
      <c r="K53" s="38"/>
      <c r="L53" s="38"/>
      <c r="M53" s="98"/>
      <c r="N53" s="38"/>
      <c r="O53" s="38"/>
      <c r="P53" s="38"/>
      <c r="Q53" s="38"/>
      <c r="R53" s="38"/>
      <c r="T53" s="38"/>
      <c r="U53" s="38"/>
      <c r="V53" s="38"/>
      <c r="W53" s="38"/>
    </row>
    <row r="54" spans="1:25" s="39" customFormat="1" x14ac:dyDescent="0.2">
      <c r="A54" s="33">
        <v>2</v>
      </c>
      <c r="B54" s="33">
        <v>0</v>
      </c>
      <c r="C54" s="33"/>
      <c r="D54" s="33"/>
      <c r="E54" s="33"/>
      <c r="F54" s="31" t="s">
        <v>32</v>
      </c>
      <c r="G54" s="34">
        <f>+G56+G59</f>
        <v>2121198464</v>
      </c>
      <c r="H54" s="35"/>
      <c r="I54" s="34">
        <f>+I56+I59</f>
        <v>97567000</v>
      </c>
      <c r="J54" s="34">
        <f>+J56+J59</f>
        <v>97567000</v>
      </c>
      <c r="K54" s="34">
        <f>+K56+K59</f>
        <v>0</v>
      </c>
      <c r="L54" s="34">
        <f>+L56+L59</f>
        <v>0</v>
      </c>
      <c r="M54" s="182">
        <f>+G54-I54+J54+L54-K54</f>
        <v>2121198464</v>
      </c>
      <c r="N54" s="36"/>
      <c r="O54" s="36">
        <f>+O56+O59</f>
        <v>1873022480</v>
      </c>
      <c r="P54" s="36">
        <f>+P56+P59</f>
        <v>1873022480</v>
      </c>
      <c r="Q54" s="36">
        <f>+Q56+Q59</f>
        <v>1873022480</v>
      </c>
      <c r="R54" s="36">
        <f>+R56+R59</f>
        <v>1873022480</v>
      </c>
      <c r="S54" s="37"/>
      <c r="T54" s="38">
        <f>+M54-O54</f>
        <v>248175984</v>
      </c>
      <c r="U54" s="38">
        <f>+O54-P54</f>
        <v>0</v>
      </c>
      <c r="V54" s="38">
        <f>+P54-Q54</f>
        <v>0</v>
      </c>
      <c r="W54" s="38">
        <f>+Q54-R54</f>
        <v>0</v>
      </c>
      <c r="Y54" s="287"/>
    </row>
    <row r="55" spans="1:25" x14ac:dyDescent="0.2">
      <c r="A55" s="33"/>
      <c r="B55" s="33"/>
      <c r="C55" s="33"/>
      <c r="D55" s="33"/>
      <c r="E55" s="33"/>
      <c r="F55" s="31"/>
      <c r="G55" s="34"/>
      <c r="H55" s="35"/>
      <c r="I55" s="36"/>
      <c r="J55" s="36"/>
      <c r="K55" s="36"/>
      <c r="L55" s="36"/>
      <c r="M55" s="34"/>
      <c r="N55" s="36"/>
      <c r="O55" s="36"/>
      <c r="P55" s="36"/>
      <c r="Q55" s="36"/>
      <c r="R55" s="36"/>
      <c r="T55" s="36"/>
      <c r="U55" s="36"/>
      <c r="V55" s="36"/>
      <c r="W55" s="36"/>
    </row>
    <row r="56" spans="1:25" s="39" customFormat="1" x14ac:dyDescent="0.2">
      <c r="A56" s="33">
        <v>2</v>
      </c>
      <c r="B56" s="33">
        <v>0</v>
      </c>
      <c r="C56" s="33">
        <v>3</v>
      </c>
      <c r="D56" s="33"/>
      <c r="E56" s="33"/>
      <c r="F56" s="31" t="s">
        <v>33</v>
      </c>
      <c r="G56" s="34">
        <f>+G57</f>
        <v>26000000</v>
      </c>
      <c r="H56" s="35"/>
      <c r="I56" s="34">
        <f>+I57</f>
        <v>0</v>
      </c>
      <c r="J56" s="34">
        <f>+J57</f>
        <v>12367000</v>
      </c>
      <c r="K56" s="34">
        <f>+K57</f>
        <v>0</v>
      </c>
      <c r="L56" s="34">
        <f>+L57</f>
        <v>0</v>
      </c>
      <c r="M56" s="182">
        <f>+G56-I56+J56+L56-K56</f>
        <v>38367000</v>
      </c>
      <c r="N56" s="36"/>
      <c r="O56" s="36">
        <f>+O57</f>
        <v>36372000</v>
      </c>
      <c r="P56" s="36">
        <f>+P57</f>
        <v>36372000</v>
      </c>
      <c r="Q56" s="36">
        <f>+Q57</f>
        <v>36372000</v>
      </c>
      <c r="R56" s="36">
        <f>+R57</f>
        <v>36372000</v>
      </c>
      <c r="S56" s="37"/>
      <c r="T56" s="38">
        <f>+M56-O56</f>
        <v>1995000</v>
      </c>
      <c r="U56" s="38">
        <f t="shared" ref="U56:W57" si="11">+O56-P56</f>
        <v>0</v>
      </c>
      <c r="V56" s="38">
        <f t="shared" si="11"/>
        <v>0</v>
      </c>
      <c r="W56" s="38">
        <f t="shared" si="11"/>
        <v>0</v>
      </c>
      <c r="Y56" s="287"/>
    </row>
    <row r="57" spans="1:25" x14ac:dyDescent="0.2">
      <c r="A57" s="96">
        <v>2</v>
      </c>
      <c r="B57" s="96">
        <v>0</v>
      </c>
      <c r="C57" s="96">
        <v>3</v>
      </c>
      <c r="D57" s="96">
        <v>50</v>
      </c>
      <c r="E57" s="96"/>
      <c r="F57" s="22" t="s">
        <v>63</v>
      </c>
      <c r="G57" s="98">
        <f>+'REC20'!G56+'REC21'!G52</f>
        <v>26000000</v>
      </c>
      <c r="H57" s="72"/>
      <c r="I57" s="98">
        <f>+'REC20'!I56+'REC21'!I52</f>
        <v>0</v>
      </c>
      <c r="J57" s="98">
        <f>+'REC20'!J56+'REC21'!J52</f>
        <v>12367000</v>
      </c>
      <c r="K57" s="98">
        <f>+'REC20'!K56+'REC21'!K52</f>
        <v>0</v>
      </c>
      <c r="L57" s="98">
        <f>+'REC20'!L56+'REC21'!L52</f>
        <v>0</v>
      </c>
      <c r="M57" s="185">
        <f>+G57-I57+J57+L57-K57</f>
        <v>38367000</v>
      </c>
      <c r="N57" s="97"/>
      <c r="O57" s="98">
        <f>+'REC20'!O56+'REC21'!O52</f>
        <v>36372000</v>
      </c>
      <c r="P57" s="98">
        <f>+'REC20'!P56+'REC21'!P52</f>
        <v>36372000</v>
      </c>
      <c r="Q57" s="98">
        <f>+'REC20'!Q56+'REC21'!Q52</f>
        <v>36372000</v>
      </c>
      <c r="R57" s="98">
        <f>+'REC20'!R56+'REC21'!R52</f>
        <v>36372000</v>
      </c>
      <c r="T57" s="99">
        <f>+M57-O57</f>
        <v>1995000</v>
      </c>
      <c r="U57" s="99">
        <f t="shared" si="11"/>
        <v>0</v>
      </c>
      <c r="V57" s="99">
        <f t="shared" si="11"/>
        <v>0</v>
      </c>
      <c r="W57" s="99">
        <f t="shared" si="11"/>
        <v>0</v>
      </c>
    </row>
    <row r="58" spans="1:25" x14ac:dyDescent="0.2">
      <c r="A58" s="96"/>
      <c r="B58" s="96"/>
      <c r="C58" s="96"/>
      <c r="D58" s="96"/>
      <c r="E58" s="96"/>
      <c r="F58" s="22"/>
      <c r="G58" s="98"/>
      <c r="H58" s="72"/>
      <c r="I58" s="100"/>
      <c r="J58" s="100"/>
      <c r="K58" s="100"/>
      <c r="L58" s="100"/>
      <c r="M58" s="98"/>
      <c r="N58" s="100"/>
      <c r="O58" s="100"/>
      <c r="P58" s="100"/>
      <c r="Q58" s="100"/>
      <c r="R58" s="100"/>
      <c r="T58" s="100"/>
      <c r="U58" s="100"/>
      <c r="V58" s="100"/>
      <c r="W58" s="100"/>
    </row>
    <row r="59" spans="1:25" s="39" customFormat="1" x14ac:dyDescent="0.2">
      <c r="A59" s="33">
        <v>2</v>
      </c>
      <c r="B59" s="33">
        <v>0</v>
      </c>
      <c r="C59" s="33">
        <v>4</v>
      </c>
      <c r="D59" s="33"/>
      <c r="E59" s="33"/>
      <c r="F59" s="31" t="s">
        <v>34</v>
      </c>
      <c r="G59" s="34">
        <f>SUM(G60:G73)</f>
        <v>2095198464</v>
      </c>
      <c r="H59" s="35"/>
      <c r="I59" s="98">
        <f>SUM(I61:I73)</f>
        <v>97567000</v>
      </c>
      <c r="J59" s="34">
        <f>SUM(J61:J73)</f>
        <v>85200000</v>
      </c>
      <c r="K59" s="34">
        <f>SUM(K61:K73)</f>
        <v>0</v>
      </c>
      <c r="L59" s="34">
        <f>SUM(L61:L73)</f>
        <v>0</v>
      </c>
      <c r="M59" s="182">
        <f>+G59-I59+J59+L59-K59</f>
        <v>2082831464</v>
      </c>
      <c r="N59" s="36"/>
      <c r="O59" s="34">
        <f>SUM(O60:O73)</f>
        <v>1836650480</v>
      </c>
      <c r="P59" s="34">
        <f>SUM(P60:P73)</f>
        <v>1836650480</v>
      </c>
      <c r="Q59" s="34">
        <f>SUM(Q60:Q73)</f>
        <v>1836650480</v>
      </c>
      <c r="R59" s="34">
        <f>SUM(R60:R73)</f>
        <v>1836650480</v>
      </c>
      <c r="S59" s="37"/>
      <c r="T59" s="38">
        <f>+M59-O59</f>
        <v>246180984</v>
      </c>
      <c r="U59" s="38">
        <f>+O59-P59</f>
        <v>0</v>
      </c>
      <c r="V59" s="38">
        <f>+P59-Q59</f>
        <v>0</v>
      </c>
      <c r="W59" s="38">
        <f>+Q59-R59</f>
        <v>0</v>
      </c>
      <c r="Y59" s="287"/>
    </row>
    <row r="60" spans="1:25" s="39" customFormat="1" x14ac:dyDescent="0.2">
      <c r="A60" s="33"/>
      <c r="B60" s="33"/>
      <c r="C60" s="33"/>
      <c r="D60" s="33"/>
      <c r="E60" s="33"/>
      <c r="F60" s="31"/>
      <c r="G60" s="34"/>
      <c r="H60" s="35"/>
      <c r="I60" s="36"/>
      <c r="J60" s="36"/>
      <c r="K60" s="36"/>
      <c r="L60" s="36"/>
      <c r="M60" s="34"/>
      <c r="N60" s="36"/>
      <c r="O60" s="36"/>
      <c r="P60" s="36"/>
      <c r="Q60" s="36"/>
      <c r="R60" s="36"/>
      <c r="S60" s="37"/>
      <c r="T60" s="36"/>
      <c r="U60" s="36"/>
      <c r="V60" s="36"/>
      <c r="W60" s="36"/>
      <c r="Y60" s="287"/>
    </row>
    <row r="61" spans="1:25" s="39" customFormat="1" ht="15" customHeight="1" x14ac:dyDescent="0.2">
      <c r="A61" s="96">
        <v>2</v>
      </c>
      <c r="B61" s="96">
        <v>0</v>
      </c>
      <c r="C61" s="96">
        <v>4</v>
      </c>
      <c r="D61" s="96">
        <v>1</v>
      </c>
      <c r="E61" s="33"/>
      <c r="F61" s="22" t="s">
        <v>80</v>
      </c>
      <c r="G61" s="98">
        <f>+'REC20'!G60+'REC21'!G56</f>
        <v>18540000</v>
      </c>
      <c r="H61" s="72"/>
      <c r="I61" s="98"/>
      <c r="J61" s="98">
        <v>0</v>
      </c>
      <c r="K61" s="98">
        <f>+'REC20'!K58+'REC21'!K56</f>
        <v>0</v>
      </c>
      <c r="L61" s="98">
        <f>+'REC20'!L58+'REC21'!L56</f>
        <v>0</v>
      </c>
      <c r="M61" s="185">
        <f t="shared" ref="M61:M73" si="12">+G61-I61+J61+L61-K61</f>
        <v>18540000</v>
      </c>
      <c r="N61" s="97"/>
      <c r="O61" s="98">
        <f>+'REC20'!O60+'REC21'!O56</f>
        <v>12278562</v>
      </c>
      <c r="P61" s="98">
        <f>+'REC20'!P60+'REC21'!P56</f>
        <v>12278562</v>
      </c>
      <c r="Q61" s="98">
        <f>+'REC20'!Q60+'REC21'!Q56</f>
        <v>12278562</v>
      </c>
      <c r="R61" s="98">
        <f>+'REC20'!R60+'REC21'!R56</f>
        <v>12278562</v>
      </c>
      <c r="S61" s="37"/>
      <c r="T61" s="99">
        <f t="shared" ref="T61:T73" si="13">+M61-O61</f>
        <v>6261438</v>
      </c>
      <c r="U61" s="99">
        <f t="shared" ref="U61:W73" si="14">+O61-P61</f>
        <v>0</v>
      </c>
      <c r="V61" s="99">
        <f t="shared" si="14"/>
        <v>0</v>
      </c>
      <c r="W61" s="99">
        <f t="shared" si="14"/>
        <v>0</v>
      </c>
      <c r="Y61" s="287"/>
    </row>
    <row r="62" spans="1:25" s="39" customFormat="1" ht="15" customHeight="1" x14ac:dyDescent="0.2">
      <c r="A62" s="96">
        <v>2</v>
      </c>
      <c r="B62" s="96">
        <v>0</v>
      </c>
      <c r="C62" s="96">
        <v>4</v>
      </c>
      <c r="D62" s="96">
        <v>2</v>
      </c>
      <c r="E62" s="33"/>
      <c r="F62" s="22" t="s">
        <v>82</v>
      </c>
      <c r="G62" s="98">
        <f>+'REC20'!G61+'REC21'!G57</f>
        <v>20900000</v>
      </c>
      <c r="H62" s="72"/>
      <c r="I62" s="98"/>
      <c r="J62" s="98"/>
      <c r="K62" s="98"/>
      <c r="L62" s="98"/>
      <c r="M62" s="185">
        <f t="shared" si="12"/>
        <v>20900000</v>
      </c>
      <c r="N62" s="97"/>
      <c r="O62" s="98">
        <f>+'REC20'!O61+'REC21'!O57</f>
        <v>7449760</v>
      </c>
      <c r="P62" s="98">
        <f>+'REC20'!P61+'REC21'!P57</f>
        <v>7449760</v>
      </c>
      <c r="Q62" s="98">
        <f>+'REC20'!Q61+'REC21'!Q57</f>
        <v>7449760</v>
      </c>
      <c r="R62" s="98">
        <f>+'REC20'!R61+'REC21'!R57</f>
        <v>7449760</v>
      </c>
      <c r="S62" s="37"/>
      <c r="T62" s="99">
        <f t="shared" si="13"/>
        <v>13450240</v>
      </c>
      <c r="U62" s="99">
        <f t="shared" ref="U62" si="15">+O62-P62</f>
        <v>0</v>
      </c>
      <c r="V62" s="99">
        <f t="shared" ref="V62" si="16">+P62-Q62</f>
        <v>0</v>
      </c>
      <c r="W62" s="99">
        <f>+Q62-R62</f>
        <v>0</v>
      </c>
      <c r="Y62" s="287"/>
    </row>
    <row r="63" spans="1:25" s="39" customFormat="1" ht="15" customHeight="1" x14ac:dyDescent="0.2">
      <c r="A63" s="96">
        <v>2</v>
      </c>
      <c r="B63" s="96">
        <v>0</v>
      </c>
      <c r="C63" s="96">
        <v>4</v>
      </c>
      <c r="D63" s="96">
        <v>4</v>
      </c>
      <c r="E63" s="33"/>
      <c r="F63" s="22" t="s">
        <v>35</v>
      </c>
      <c r="G63" s="98">
        <f>+'REC20'!G62+'REC21'!G58</f>
        <v>83046637</v>
      </c>
      <c r="H63" s="72"/>
      <c r="I63" s="98">
        <f>+'REC20'!I59+'REC21'!I58</f>
        <v>0</v>
      </c>
      <c r="J63" s="98">
        <f>+'REC20'!J59+'REC21'!J58</f>
        <v>0</v>
      </c>
      <c r="K63" s="98">
        <f>+'REC20'!K59+'REC21'!K58</f>
        <v>0</v>
      </c>
      <c r="L63" s="98">
        <f>+'REC20'!L59+'REC21'!L58</f>
        <v>0</v>
      </c>
      <c r="M63" s="185">
        <f t="shared" si="12"/>
        <v>83046637</v>
      </c>
      <c r="N63" s="97"/>
      <c r="O63" s="98">
        <f>+'REC20'!O62+'REC21'!O58</f>
        <v>66698675</v>
      </c>
      <c r="P63" s="98">
        <f>+'REC20'!P62+'REC21'!P58</f>
        <v>66698675</v>
      </c>
      <c r="Q63" s="98">
        <f>+'REC20'!Q62+'REC21'!Q58</f>
        <v>66698675</v>
      </c>
      <c r="R63" s="98">
        <f>+'REC20'!R62+'REC21'!R58</f>
        <v>66698675</v>
      </c>
      <c r="S63" s="37"/>
      <c r="T63" s="99">
        <f t="shared" si="13"/>
        <v>16347962</v>
      </c>
      <c r="U63" s="99">
        <f t="shared" si="14"/>
        <v>0</v>
      </c>
      <c r="V63" s="99">
        <f t="shared" si="14"/>
        <v>0</v>
      </c>
      <c r="W63" s="99">
        <f t="shared" si="14"/>
        <v>0</v>
      </c>
      <c r="Y63" s="287"/>
    </row>
    <row r="64" spans="1:25" s="39" customFormat="1" ht="15" customHeight="1" x14ac:dyDescent="0.2">
      <c r="A64" s="96">
        <v>2</v>
      </c>
      <c r="B64" s="96">
        <v>0</v>
      </c>
      <c r="C64" s="96">
        <v>4</v>
      </c>
      <c r="D64" s="96">
        <v>5</v>
      </c>
      <c r="E64" s="33"/>
      <c r="F64" s="22" t="s">
        <v>36</v>
      </c>
      <c r="G64" s="98">
        <f>+'REC20'!G63+'REC21'!G59</f>
        <v>768925000</v>
      </c>
      <c r="H64" s="72"/>
      <c r="I64" s="98">
        <f>+'REC20'!I63</f>
        <v>21495700</v>
      </c>
      <c r="J64" s="98">
        <f>+'REC20'!J60+'REC21'!J59</f>
        <v>0</v>
      </c>
      <c r="K64" s="98">
        <f>+'REC20'!K60+'REC21'!K59</f>
        <v>0</v>
      </c>
      <c r="L64" s="98">
        <f>+'REC20'!L60+'REC21'!L59</f>
        <v>0</v>
      </c>
      <c r="M64" s="185">
        <f t="shared" si="12"/>
        <v>747429300</v>
      </c>
      <c r="N64" s="97"/>
      <c r="O64" s="98">
        <f>+'REC20'!O63+'REC21'!O59</f>
        <v>665479304</v>
      </c>
      <c r="P64" s="98">
        <f>+'REC20'!P63+'REC21'!P59</f>
        <v>665479304</v>
      </c>
      <c r="Q64" s="98">
        <f>+'REC20'!Q63+'REC21'!Q59</f>
        <v>665479304</v>
      </c>
      <c r="R64" s="98">
        <f>+'REC20'!R63+'REC21'!R59</f>
        <v>665479304</v>
      </c>
      <c r="S64" s="37"/>
      <c r="T64" s="99">
        <f t="shared" si="13"/>
        <v>81949996</v>
      </c>
      <c r="U64" s="99">
        <f t="shared" si="14"/>
        <v>0</v>
      </c>
      <c r="V64" s="99">
        <f t="shared" si="14"/>
        <v>0</v>
      </c>
      <c r="W64" s="99">
        <f t="shared" si="14"/>
        <v>0</v>
      </c>
      <c r="Y64" s="287"/>
    </row>
    <row r="65" spans="1:25" s="39" customFormat="1" ht="15" customHeight="1" x14ac:dyDescent="0.2">
      <c r="A65" s="96">
        <v>2</v>
      </c>
      <c r="B65" s="96">
        <v>0</v>
      </c>
      <c r="C65" s="96">
        <v>4</v>
      </c>
      <c r="D65" s="96">
        <v>6</v>
      </c>
      <c r="E65" s="33"/>
      <c r="F65" s="22" t="s">
        <v>37</v>
      </c>
      <c r="G65" s="98">
        <f>+'REC20'!G64+'REC21'!G60</f>
        <v>191513951</v>
      </c>
      <c r="H65" s="72"/>
      <c r="I65" s="98">
        <f>+'REC20'!I64</f>
        <v>20000000</v>
      </c>
      <c r="J65" s="98">
        <f>+'REC20'!J62+'REC21'!J60</f>
        <v>0</v>
      </c>
      <c r="K65" s="98">
        <f>+'REC20'!K62+'REC21'!K60</f>
        <v>0</v>
      </c>
      <c r="L65" s="98">
        <f>+'REC20'!L62+'REC21'!L60</f>
        <v>0</v>
      </c>
      <c r="M65" s="185">
        <f t="shared" si="12"/>
        <v>171513951</v>
      </c>
      <c r="N65" s="97"/>
      <c r="O65" s="98">
        <f>+'REC20'!O64+'REC21'!O60</f>
        <v>138256505</v>
      </c>
      <c r="P65" s="98">
        <f>+'REC20'!P64+'REC21'!P60</f>
        <v>138256505</v>
      </c>
      <c r="Q65" s="98">
        <f>+'REC20'!Q64+'REC21'!Q60</f>
        <v>138256505</v>
      </c>
      <c r="R65" s="98">
        <f>+'REC20'!R64+'REC21'!R60</f>
        <v>138256505</v>
      </c>
      <c r="S65" s="37"/>
      <c r="T65" s="99">
        <f t="shared" si="13"/>
        <v>33257446</v>
      </c>
      <c r="U65" s="99">
        <f t="shared" si="14"/>
        <v>0</v>
      </c>
      <c r="V65" s="99">
        <f t="shared" si="14"/>
        <v>0</v>
      </c>
      <c r="W65" s="99">
        <f t="shared" si="14"/>
        <v>0</v>
      </c>
      <c r="Y65" s="287"/>
    </row>
    <row r="66" spans="1:25" s="39" customFormat="1" ht="15" customHeight="1" x14ac:dyDescent="0.2">
      <c r="A66" s="96">
        <v>2</v>
      </c>
      <c r="B66" s="96">
        <v>0</v>
      </c>
      <c r="C66" s="96">
        <v>4</v>
      </c>
      <c r="D66" s="96">
        <v>7</v>
      </c>
      <c r="E66" s="33"/>
      <c r="F66" s="22" t="s">
        <v>38</v>
      </c>
      <c r="G66" s="98">
        <f>+'REC20'!G65+'REC21'!G61</f>
        <v>21630000</v>
      </c>
      <c r="H66" s="72"/>
      <c r="I66" s="98">
        <f>+'REC20'!I65</f>
        <v>10871300</v>
      </c>
      <c r="J66" s="98">
        <f>+'REC20'!J63+'REC21'!J61</f>
        <v>0</v>
      </c>
      <c r="K66" s="98">
        <f>+'REC20'!K63+'REC21'!K61</f>
        <v>0</v>
      </c>
      <c r="L66" s="98">
        <f>+'REC20'!L63+'REC21'!L61</f>
        <v>0</v>
      </c>
      <c r="M66" s="185">
        <f t="shared" si="12"/>
        <v>10758700</v>
      </c>
      <c r="N66" s="97"/>
      <c r="O66" s="98">
        <f>+'REC20'!O65+'REC21'!O61</f>
        <v>10226700</v>
      </c>
      <c r="P66" s="98">
        <f>+'REC20'!P65+'REC21'!P61</f>
        <v>10226700</v>
      </c>
      <c r="Q66" s="98">
        <f>+'REC20'!Q65+'REC21'!Q61</f>
        <v>10226700</v>
      </c>
      <c r="R66" s="98">
        <f>+'REC20'!R65+'REC21'!R61</f>
        <v>10226700</v>
      </c>
      <c r="S66" s="37"/>
      <c r="T66" s="99">
        <f t="shared" si="13"/>
        <v>532000</v>
      </c>
      <c r="U66" s="99">
        <f t="shared" si="14"/>
        <v>0</v>
      </c>
      <c r="V66" s="99">
        <f t="shared" si="14"/>
        <v>0</v>
      </c>
      <c r="W66" s="99">
        <f t="shared" si="14"/>
        <v>0</v>
      </c>
      <c r="Y66" s="287"/>
    </row>
    <row r="67" spans="1:25" s="39" customFormat="1" ht="15" customHeight="1" x14ac:dyDescent="0.2">
      <c r="A67" s="96">
        <v>2</v>
      </c>
      <c r="B67" s="96">
        <v>0</v>
      </c>
      <c r="C67" s="96">
        <v>4</v>
      </c>
      <c r="D67" s="96">
        <v>8</v>
      </c>
      <c r="E67" s="33"/>
      <c r="F67" s="22" t="s">
        <v>39</v>
      </c>
      <c r="G67" s="98">
        <f>+'REC20'!G66+'REC21'!G62</f>
        <v>318168309</v>
      </c>
      <c r="H67" s="72"/>
      <c r="I67" s="98">
        <f>+'REC20'!I66</f>
        <v>30000000</v>
      </c>
      <c r="J67" s="98">
        <f>+'REC20'!J64+'REC21'!J62</f>
        <v>0</v>
      </c>
      <c r="K67" s="98">
        <f>+'REC20'!K64+'REC21'!K62</f>
        <v>0</v>
      </c>
      <c r="L67" s="98">
        <f>+'REC20'!L64+'REC21'!L62</f>
        <v>0</v>
      </c>
      <c r="M67" s="185">
        <f t="shared" si="12"/>
        <v>288168309</v>
      </c>
      <c r="N67" s="97"/>
      <c r="O67" s="98">
        <f>+'REC20'!O66+'REC21'!O62</f>
        <v>259388436</v>
      </c>
      <c r="P67" s="98">
        <f>+'REC20'!P66+'REC21'!P62</f>
        <v>259388436</v>
      </c>
      <c r="Q67" s="98">
        <f>+'REC20'!Q66+'REC21'!Q62</f>
        <v>259388436</v>
      </c>
      <c r="R67" s="98">
        <f>+'REC20'!R66+'REC21'!R62</f>
        <v>259388436</v>
      </c>
      <c r="S67" s="37"/>
      <c r="T67" s="99">
        <f t="shared" si="13"/>
        <v>28779873</v>
      </c>
      <c r="U67" s="99">
        <f t="shared" si="14"/>
        <v>0</v>
      </c>
      <c r="V67" s="99">
        <f t="shared" si="14"/>
        <v>0</v>
      </c>
      <c r="W67" s="99">
        <f t="shared" si="14"/>
        <v>0</v>
      </c>
      <c r="Y67" s="287"/>
    </row>
    <row r="68" spans="1:25" s="39" customFormat="1" ht="15" customHeight="1" x14ac:dyDescent="0.2">
      <c r="A68" s="96">
        <v>2</v>
      </c>
      <c r="B68" s="96">
        <v>0</v>
      </c>
      <c r="C68" s="96">
        <v>4</v>
      </c>
      <c r="D68" s="96">
        <v>9</v>
      </c>
      <c r="E68" s="33"/>
      <c r="F68" s="22" t="s">
        <v>40</v>
      </c>
      <c r="G68" s="98">
        <f>+'REC20'!G67+'REC21'!G63</f>
        <v>41200000</v>
      </c>
      <c r="H68" s="72"/>
      <c r="I68" s="98">
        <f>+'REC20'!I67</f>
        <v>0</v>
      </c>
      <c r="J68" s="98">
        <f>+'REC20'!J67</f>
        <v>200000</v>
      </c>
      <c r="K68" s="98">
        <f>+'REC20'!K65+'REC21'!K63</f>
        <v>0</v>
      </c>
      <c r="L68" s="98">
        <f>+'REC20'!L65+'REC21'!L63</f>
        <v>0</v>
      </c>
      <c r="M68" s="185">
        <f t="shared" si="12"/>
        <v>41400000</v>
      </c>
      <c r="N68" s="97"/>
      <c r="O68" s="98">
        <f>+'REC20'!O67+'REC21'!O63</f>
        <v>41379063</v>
      </c>
      <c r="P68" s="98">
        <f>+'REC20'!P67+'REC21'!P63</f>
        <v>41379063</v>
      </c>
      <c r="Q68" s="98">
        <f>+'REC20'!Q67+'REC21'!Q63</f>
        <v>41379063</v>
      </c>
      <c r="R68" s="98">
        <f>+'REC20'!R67+'REC21'!R63</f>
        <v>41379063</v>
      </c>
      <c r="S68" s="37"/>
      <c r="T68" s="99">
        <f t="shared" si="13"/>
        <v>20937</v>
      </c>
      <c r="U68" s="99">
        <f t="shared" si="14"/>
        <v>0</v>
      </c>
      <c r="V68" s="99">
        <f t="shared" si="14"/>
        <v>0</v>
      </c>
      <c r="W68" s="99">
        <f t="shared" si="14"/>
        <v>0</v>
      </c>
      <c r="Y68" s="287"/>
    </row>
    <row r="69" spans="1:25" s="39" customFormat="1" ht="15" customHeight="1" x14ac:dyDescent="0.2">
      <c r="A69" s="96">
        <v>2</v>
      </c>
      <c r="B69" s="96">
        <v>0</v>
      </c>
      <c r="C69" s="96">
        <v>4</v>
      </c>
      <c r="D69" s="96">
        <v>11</v>
      </c>
      <c r="E69" s="33"/>
      <c r="F69" s="22" t="s">
        <v>41</v>
      </c>
      <c r="G69" s="98">
        <f>+'REC20'!G68+'REC21'!G64</f>
        <v>226600000</v>
      </c>
      <c r="H69" s="72"/>
      <c r="I69" s="98">
        <f>+'REC20'!I68+'REC21'!I64</f>
        <v>0</v>
      </c>
      <c r="J69" s="98">
        <f>+'REC20'!J68+'REC21'!J64</f>
        <v>65000000</v>
      </c>
      <c r="K69" s="98">
        <f>+'REC20'!K68+'REC21'!K64</f>
        <v>0</v>
      </c>
      <c r="L69" s="98">
        <f>+'REC20'!L68+'REC21'!L64</f>
        <v>0</v>
      </c>
      <c r="M69" s="185">
        <f t="shared" si="12"/>
        <v>291600000</v>
      </c>
      <c r="N69" s="97"/>
      <c r="O69" s="98">
        <f>+'REC20'!O68+'REC21'!O64</f>
        <v>267635999</v>
      </c>
      <c r="P69" s="98">
        <f>+'REC20'!P68+'REC21'!P64</f>
        <v>267635999</v>
      </c>
      <c r="Q69" s="98">
        <f>+'REC20'!Q68+'REC21'!Q64</f>
        <v>267635999</v>
      </c>
      <c r="R69" s="98">
        <f>+'REC20'!R68+'REC21'!R64</f>
        <v>267635999</v>
      </c>
      <c r="S69" s="37"/>
      <c r="T69" s="99">
        <f t="shared" si="13"/>
        <v>23964001</v>
      </c>
      <c r="U69" s="99">
        <f t="shared" si="14"/>
        <v>0</v>
      </c>
      <c r="V69" s="99">
        <f t="shared" si="14"/>
        <v>0</v>
      </c>
      <c r="W69" s="99">
        <f t="shared" si="14"/>
        <v>0</v>
      </c>
      <c r="Y69" s="287"/>
    </row>
    <row r="70" spans="1:25" ht="15" customHeight="1" x14ac:dyDescent="0.2">
      <c r="A70" s="96">
        <v>2</v>
      </c>
      <c r="B70" s="96">
        <v>0</v>
      </c>
      <c r="C70" s="96">
        <v>4</v>
      </c>
      <c r="D70" s="96">
        <v>14</v>
      </c>
      <c r="E70" s="96"/>
      <c r="F70" s="22" t="s">
        <v>83</v>
      </c>
      <c r="G70" s="98">
        <f>+'REC20'!G69+'REC21'!G65</f>
        <v>46350000</v>
      </c>
      <c r="H70" s="72"/>
      <c r="I70" s="98">
        <f>+'REC20'!I67+'REC21'!I65</f>
        <v>0</v>
      </c>
      <c r="J70" s="98">
        <v>0</v>
      </c>
      <c r="K70" s="98">
        <f>+'REC20'!K67+'REC21'!K65</f>
        <v>0</v>
      </c>
      <c r="L70" s="98">
        <f>+'REC20'!L67+'REC21'!L65</f>
        <v>0</v>
      </c>
      <c r="M70" s="185">
        <f t="shared" si="12"/>
        <v>46350000</v>
      </c>
      <c r="N70" s="97"/>
      <c r="O70" s="98">
        <f>+'REC20'!O69+'REC21'!O65</f>
        <v>28305111</v>
      </c>
      <c r="P70" s="98">
        <f>+'REC20'!P69+'REC21'!P65</f>
        <v>28305111</v>
      </c>
      <c r="Q70" s="98">
        <f>+'REC20'!Q69+'REC21'!Q65</f>
        <v>28305111</v>
      </c>
      <c r="R70" s="98">
        <f>+'REC20'!R69+'REC21'!R65</f>
        <v>28305111</v>
      </c>
      <c r="T70" s="99">
        <f t="shared" si="13"/>
        <v>18044889</v>
      </c>
      <c r="U70" s="99">
        <f t="shared" si="14"/>
        <v>0</v>
      </c>
      <c r="V70" s="99">
        <f t="shared" si="14"/>
        <v>0</v>
      </c>
      <c r="W70" s="99">
        <f t="shared" si="14"/>
        <v>0</v>
      </c>
    </row>
    <row r="71" spans="1:25" s="39" customFormat="1" ht="15" customHeight="1" x14ac:dyDescent="0.2">
      <c r="A71" s="96">
        <v>2</v>
      </c>
      <c r="B71" s="96">
        <v>0</v>
      </c>
      <c r="C71" s="96">
        <v>4</v>
      </c>
      <c r="D71" s="96">
        <v>21</v>
      </c>
      <c r="E71" s="33"/>
      <c r="F71" s="101" t="s">
        <v>64</v>
      </c>
      <c r="G71" s="98">
        <f>+'REC20'!G71+'REC21'!G67</f>
        <v>123000000</v>
      </c>
      <c r="H71" s="72"/>
      <c r="I71" s="98">
        <f>+'REC20'!I69+'REC21'!I67</f>
        <v>0</v>
      </c>
      <c r="J71" s="98">
        <f>+'REC20'!J71</f>
        <v>20000000</v>
      </c>
      <c r="K71" s="98">
        <f>+'REC20'!K69+'REC21'!K67</f>
        <v>0</v>
      </c>
      <c r="L71" s="98">
        <f>+'REC20'!L69+'REC21'!L67</f>
        <v>0</v>
      </c>
      <c r="M71" s="185">
        <f t="shared" si="12"/>
        <v>143000000</v>
      </c>
      <c r="N71" s="97"/>
      <c r="O71" s="98">
        <f>+'REC20'!O71+'REC21'!O67</f>
        <v>138832233</v>
      </c>
      <c r="P71" s="98">
        <f>+'REC20'!P71+'REC21'!P67</f>
        <v>138832233</v>
      </c>
      <c r="Q71" s="98">
        <f>+'REC20'!Q71+'REC21'!Q67</f>
        <v>138832233</v>
      </c>
      <c r="R71" s="98">
        <f>+'REC20'!R71+'REC21'!R67</f>
        <v>138832233</v>
      </c>
      <c r="S71" s="37"/>
      <c r="T71" s="99">
        <f t="shared" si="13"/>
        <v>4167767</v>
      </c>
      <c r="U71" s="99">
        <f t="shared" si="14"/>
        <v>0</v>
      </c>
      <c r="V71" s="99">
        <f t="shared" si="14"/>
        <v>0</v>
      </c>
      <c r="W71" s="99">
        <f t="shared" si="14"/>
        <v>0</v>
      </c>
      <c r="Y71" s="287"/>
    </row>
    <row r="72" spans="1:25" s="39" customFormat="1" ht="15" customHeight="1" x14ac:dyDescent="0.2">
      <c r="A72" s="96">
        <v>2</v>
      </c>
      <c r="B72" s="96">
        <v>0</v>
      </c>
      <c r="C72" s="96">
        <v>4</v>
      </c>
      <c r="D72" s="96">
        <v>40</v>
      </c>
      <c r="E72" s="33"/>
      <c r="F72" s="22" t="s">
        <v>44</v>
      </c>
      <c r="G72" s="98">
        <f>+'REC20'!G72+'REC21'!G68</f>
        <v>4000000</v>
      </c>
      <c r="H72" s="72"/>
      <c r="I72" s="98">
        <f>+'REC20'!I70+'REC21'!I68</f>
        <v>0</v>
      </c>
      <c r="J72" s="98">
        <f>+'REC20'!J72</f>
        <v>0</v>
      </c>
      <c r="K72" s="98">
        <f>+'REC20'!K70+'REC21'!K68</f>
        <v>0</v>
      </c>
      <c r="L72" s="98">
        <f>+'REC20'!L70+'REC21'!L68</f>
        <v>0</v>
      </c>
      <c r="M72" s="185">
        <f t="shared" si="12"/>
        <v>4000000</v>
      </c>
      <c r="N72" s="97"/>
      <c r="O72" s="98">
        <f>+'REC20'!O72+'REC21'!O68</f>
        <v>1114760</v>
      </c>
      <c r="P72" s="98">
        <f>+'REC20'!P72+'REC21'!P68</f>
        <v>1114760</v>
      </c>
      <c r="Q72" s="98">
        <f>+'REC20'!Q72+'REC21'!Q68</f>
        <v>1114760</v>
      </c>
      <c r="R72" s="98">
        <f>+'REC20'!R72+'REC21'!R68</f>
        <v>1114760</v>
      </c>
      <c r="S72" s="37"/>
      <c r="T72" s="99">
        <f t="shared" si="13"/>
        <v>2885240</v>
      </c>
      <c r="U72" s="99">
        <f t="shared" si="14"/>
        <v>0</v>
      </c>
      <c r="V72" s="99">
        <f t="shared" si="14"/>
        <v>0</v>
      </c>
      <c r="W72" s="99">
        <f t="shared" si="14"/>
        <v>0</v>
      </c>
      <c r="Y72" s="287"/>
    </row>
    <row r="73" spans="1:25" s="39" customFormat="1" ht="15" customHeight="1" x14ac:dyDescent="0.2">
      <c r="A73" s="96">
        <v>2</v>
      </c>
      <c r="B73" s="96">
        <v>0</v>
      </c>
      <c r="C73" s="96">
        <v>4</v>
      </c>
      <c r="D73" s="96">
        <v>41</v>
      </c>
      <c r="E73" s="33"/>
      <c r="F73" s="22" t="s">
        <v>45</v>
      </c>
      <c r="G73" s="98">
        <f>+'REC20'!G73+'REC21'!G69</f>
        <v>231324567</v>
      </c>
      <c r="H73" s="72"/>
      <c r="I73" s="98">
        <f>+'REC20'!I73</f>
        <v>15200000</v>
      </c>
      <c r="J73" s="98">
        <v>0</v>
      </c>
      <c r="K73" s="98">
        <f>+'REC20'!K71+'REC21'!K69</f>
        <v>0</v>
      </c>
      <c r="L73" s="98">
        <f>+'REC20'!L71+'REC21'!L69</f>
        <v>0</v>
      </c>
      <c r="M73" s="185">
        <f t="shared" si="12"/>
        <v>216124567</v>
      </c>
      <c r="N73" s="97"/>
      <c r="O73" s="98">
        <f>+'REC20'!O73+'REC21'!O69</f>
        <v>199605372</v>
      </c>
      <c r="P73" s="98">
        <f>+'REC20'!P73+'REC21'!P69</f>
        <v>199605372</v>
      </c>
      <c r="Q73" s="98">
        <f>+'REC20'!Q73+'REC21'!Q69</f>
        <v>199605372</v>
      </c>
      <c r="R73" s="98">
        <f>+'REC20'!R73+'REC21'!R69</f>
        <v>199605372</v>
      </c>
      <c r="S73" s="37"/>
      <c r="T73" s="99">
        <f t="shared" si="13"/>
        <v>16519195</v>
      </c>
      <c r="U73" s="99">
        <f t="shared" si="14"/>
        <v>0</v>
      </c>
      <c r="V73" s="99">
        <f t="shared" si="14"/>
        <v>0</v>
      </c>
      <c r="W73" s="99">
        <f t="shared" si="14"/>
        <v>0</v>
      </c>
      <c r="Y73" s="287"/>
    </row>
    <row r="74" spans="1:25" s="39" customFormat="1" ht="15" customHeight="1" x14ac:dyDescent="0.2">
      <c r="A74" s="96"/>
      <c r="B74" s="96"/>
      <c r="C74" s="96"/>
      <c r="D74" s="96"/>
      <c r="E74" s="33"/>
      <c r="F74" s="22"/>
      <c r="G74" s="98"/>
      <c r="H74" s="72"/>
      <c r="I74" s="98"/>
      <c r="J74" s="98"/>
      <c r="K74" s="98"/>
      <c r="L74" s="98"/>
      <c r="M74" s="98"/>
      <c r="N74" s="97"/>
      <c r="O74" s="98"/>
      <c r="P74" s="98"/>
      <c r="Q74" s="98"/>
      <c r="R74" s="98"/>
      <c r="S74" s="37"/>
      <c r="T74" s="99"/>
      <c r="U74" s="99"/>
      <c r="V74" s="99"/>
      <c r="W74" s="99"/>
      <c r="Y74" s="287"/>
    </row>
    <row r="75" spans="1:25" s="39" customFormat="1" ht="15" customHeight="1" x14ac:dyDescent="0.2">
      <c r="A75" s="65">
        <v>3</v>
      </c>
      <c r="B75" s="41"/>
      <c r="C75" s="41"/>
      <c r="D75" s="41"/>
      <c r="E75" s="41"/>
      <c r="F75" s="66" t="s">
        <v>73</v>
      </c>
      <c r="G75" s="221">
        <f>+G76+G78</f>
        <v>234285849</v>
      </c>
      <c r="H75" s="35"/>
      <c r="I75" s="98">
        <f>+I76+I78</f>
        <v>0</v>
      </c>
      <c r="J75" s="98">
        <f>+J76+J78</f>
        <v>0</v>
      </c>
      <c r="K75" s="98">
        <f>+K76+K78</f>
        <v>0</v>
      </c>
      <c r="L75" s="98">
        <f>+L76+L78</f>
        <v>0</v>
      </c>
      <c r="M75" s="182">
        <f>+G75-I75+J75+L75-K75</f>
        <v>234285849</v>
      </c>
      <c r="N75" s="95"/>
      <c r="O75" s="32">
        <f>+O76+O78</f>
        <v>16708899</v>
      </c>
      <c r="P75" s="32">
        <f>+P76+P78</f>
        <v>16708899</v>
      </c>
      <c r="Q75" s="32">
        <f>+Q76+Q78</f>
        <v>16708899</v>
      </c>
      <c r="R75" s="32">
        <f>+R76+R78</f>
        <v>16708899</v>
      </c>
      <c r="S75" s="37"/>
      <c r="T75" s="38">
        <f>+M75-O75</f>
        <v>217576950</v>
      </c>
      <c r="U75" s="38">
        <f t="shared" ref="U75:W83" si="17">+O75-P75</f>
        <v>0</v>
      </c>
      <c r="V75" s="38">
        <f t="shared" si="17"/>
        <v>0</v>
      </c>
      <c r="W75" s="38">
        <f t="shared" si="17"/>
        <v>0</v>
      </c>
      <c r="Y75" s="287"/>
    </row>
    <row r="76" spans="1:25" s="39" customFormat="1" ht="15" customHeight="1" x14ac:dyDescent="0.2">
      <c r="A76" s="22">
        <v>3</v>
      </c>
      <c r="B76" s="22">
        <v>2</v>
      </c>
      <c r="C76" s="22">
        <v>1</v>
      </c>
      <c r="D76" s="22">
        <v>1</v>
      </c>
      <c r="E76" s="22">
        <v>20</v>
      </c>
      <c r="F76" s="22" t="s">
        <v>74</v>
      </c>
      <c r="G76" s="219">
        <f>+'REC20'!G76</f>
        <v>20455849</v>
      </c>
      <c r="H76" s="72"/>
      <c r="I76" s="98">
        <f>+'REC20'!I74</f>
        <v>0</v>
      </c>
      <c r="J76" s="98">
        <f>+'REC20'!J74</f>
        <v>0</v>
      </c>
      <c r="K76" s="98">
        <f>+'REC20'!K74</f>
        <v>0</v>
      </c>
      <c r="L76" s="98">
        <f>+'REC20'!L74</f>
        <v>0</v>
      </c>
      <c r="M76" s="185">
        <f>+G76-I76+J76+L76-K76</f>
        <v>20455849</v>
      </c>
      <c r="N76" s="36"/>
      <c r="O76" s="98">
        <f>+'REC20'!O76</f>
        <v>16708899</v>
      </c>
      <c r="P76" s="98">
        <f>+'REC20'!P76</f>
        <v>16708899</v>
      </c>
      <c r="Q76" s="98">
        <f>+'REC20'!Q76</f>
        <v>16708899</v>
      </c>
      <c r="R76" s="98">
        <f>+'REC20'!R76</f>
        <v>16708899</v>
      </c>
      <c r="S76" s="37"/>
      <c r="T76" s="99">
        <f>+M76-O76</f>
        <v>3746950</v>
      </c>
      <c r="U76" s="99">
        <f t="shared" si="17"/>
        <v>0</v>
      </c>
      <c r="V76" s="99">
        <f t="shared" si="17"/>
        <v>0</v>
      </c>
      <c r="W76" s="99">
        <f t="shared" si="17"/>
        <v>0</v>
      </c>
      <c r="X76" s="102"/>
      <c r="Y76" s="287"/>
    </row>
    <row r="77" spans="1:25" s="39" customFormat="1" ht="15" customHeight="1" x14ac:dyDescent="0.2">
      <c r="A77" s="22"/>
      <c r="B77" s="22"/>
      <c r="C77" s="22"/>
      <c r="D77" s="22"/>
      <c r="E77" s="22"/>
      <c r="F77" s="22"/>
      <c r="G77" s="219"/>
      <c r="H77" s="72"/>
      <c r="I77" s="98">
        <f>+'REC20'!I75</f>
        <v>0</v>
      </c>
      <c r="J77" s="98">
        <f>+'REC20'!J75</f>
        <v>0</v>
      </c>
      <c r="K77" s="98">
        <f>+'REC20'!K75</f>
        <v>0</v>
      </c>
      <c r="L77" s="98">
        <f>+'REC20'!L75</f>
        <v>0</v>
      </c>
      <c r="M77" s="185">
        <f>+G77-I77+J77+L77-K77</f>
        <v>0</v>
      </c>
      <c r="N77" s="36"/>
      <c r="O77" s="98"/>
      <c r="P77" s="98"/>
      <c r="Q77" s="98"/>
      <c r="R77" s="98"/>
      <c r="S77" s="37"/>
      <c r="T77" s="99">
        <f t="shared" ref="T77:T84" si="18">+M77-O77</f>
        <v>0</v>
      </c>
      <c r="U77" s="99">
        <f t="shared" si="17"/>
        <v>0</v>
      </c>
      <c r="V77" s="99">
        <f t="shared" si="17"/>
        <v>0</v>
      </c>
      <c r="W77" s="99">
        <f t="shared" si="17"/>
        <v>0</v>
      </c>
      <c r="Y77" s="287"/>
    </row>
    <row r="78" spans="1:25" s="39" customFormat="1" ht="15" customHeight="1" x14ac:dyDescent="0.2">
      <c r="A78" s="22">
        <v>3</v>
      </c>
      <c r="B78" s="22">
        <v>6</v>
      </c>
      <c r="C78" s="22">
        <v>1</v>
      </c>
      <c r="D78" s="22">
        <v>1</v>
      </c>
      <c r="E78" s="22">
        <v>20</v>
      </c>
      <c r="F78" s="22" t="s">
        <v>75</v>
      </c>
      <c r="G78" s="219">
        <f>+'REC20'!G78</f>
        <v>213830000</v>
      </c>
      <c r="H78" s="72"/>
      <c r="I78" s="98">
        <f>+'REC20'!I76</f>
        <v>0</v>
      </c>
      <c r="J78" s="98">
        <f>+'REC20'!J76</f>
        <v>0</v>
      </c>
      <c r="K78" s="98">
        <f>+'REC20'!K76</f>
        <v>0</v>
      </c>
      <c r="L78" s="98">
        <f>+'REC20'!L76</f>
        <v>0</v>
      </c>
      <c r="M78" s="185">
        <f>+G78-I78+J78+L78-K78</f>
        <v>213830000</v>
      </c>
      <c r="N78" s="36"/>
      <c r="O78" s="98">
        <v>0</v>
      </c>
      <c r="P78" s="98">
        <f>+'REC20'!P78</f>
        <v>0</v>
      </c>
      <c r="Q78" s="98">
        <f>+'REC20'!Q78</f>
        <v>0</v>
      </c>
      <c r="R78" s="98">
        <f>+'REC20'!R78</f>
        <v>0</v>
      </c>
      <c r="S78" s="37"/>
      <c r="T78" s="99">
        <f t="shared" si="18"/>
        <v>213830000</v>
      </c>
      <c r="U78" s="99">
        <f t="shared" si="17"/>
        <v>0</v>
      </c>
      <c r="V78" s="99">
        <f t="shared" si="17"/>
        <v>0</v>
      </c>
      <c r="W78" s="99">
        <f t="shared" si="17"/>
        <v>0</v>
      </c>
      <c r="Y78" s="287"/>
    </row>
    <row r="79" spans="1:25" s="39" customFormat="1" ht="10.5" customHeight="1" x14ac:dyDescent="0.2">
      <c r="A79" s="96"/>
      <c r="B79" s="96"/>
      <c r="C79" s="96"/>
      <c r="D79" s="96"/>
      <c r="E79" s="33"/>
      <c r="F79" s="101"/>
      <c r="G79" s="98"/>
      <c r="H79" s="72"/>
      <c r="I79" s="98"/>
      <c r="J79" s="98"/>
      <c r="K79" s="98"/>
      <c r="L79" s="98"/>
      <c r="M79" s="185"/>
      <c r="N79" s="36"/>
      <c r="O79" s="100"/>
      <c r="P79" s="100"/>
      <c r="Q79" s="100"/>
      <c r="R79" s="100"/>
      <c r="S79" s="37"/>
      <c r="T79" s="99"/>
      <c r="U79" s="99"/>
      <c r="V79" s="99"/>
      <c r="W79" s="99"/>
      <c r="Y79" s="287"/>
    </row>
    <row r="80" spans="1:25" s="39" customFormat="1" x14ac:dyDescent="0.2">
      <c r="A80" s="96"/>
      <c r="B80" s="96"/>
      <c r="C80" s="96"/>
      <c r="D80" s="96"/>
      <c r="E80" s="96"/>
      <c r="F80" s="101"/>
      <c r="G80" s="98"/>
      <c r="H80" s="72"/>
      <c r="I80" s="36"/>
      <c r="J80" s="36"/>
      <c r="K80" s="36"/>
      <c r="L80" s="36"/>
      <c r="M80" s="98"/>
      <c r="N80" s="36"/>
      <c r="O80" s="100"/>
      <c r="P80" s="100"/>
      <c r="Q80" s="100"/>
      <c r="R80" s="100"/>
      <c r="S80" s="37"/>
      <c r="T80" s="99"/>
      <c r="U80" s="99"/>
      <c r="V80" s="99"/>
      <c r="W80" s="99"/>
      <c r="Y80" s="287"/>
    </row>
    <row r="81" spans="1:25" s="39" customFormat="1" ht="21" customHeight="1" x14ac:dyDescent="0.2">
      <c r="A81" s="219"/>
      <c r="B81" s="219"/>
      <c r="C81" s="219"/>
      <c r="D81" s="219"/>
      <c r="E81" s="219"/>
      <c r="F81" s="222" t="s">
        <v>76</v>
      </c>
      <c r="G81" s="214">
        <f>SUM(G82:G86)</f>
        <v>4041000000</v>
      </c>
      <c r="H81" s="35"/>
      <c r="I81" s="34">
        <f>SUM(I83:I86)</f>
        <v>0</v>
      </c>
      <c r="J81" s="34">
        <f>SUM(J83:J86)</f>
        <v>0</v>
      </c>
      <c r="K81" s="34">
        <f>SUM(K83:K86)</f>
        <v>0</v>
      </c>
      <c r="L81" s="34">
        <f>SUM(L83:L86)</f>
        <v>0</v>
      </c>
      <c r="M81" s="182">
        <f t="shared" ref="M81:M86" si="19">+G81-I81+J81+L81-K81</f>
        <v>4041000000</v>
      </c>
      <c r="N81" s="36"/>
      <c r="O81" s="182">
        <f>SUM(O82:O86)</f>
        <v>3647032681</v>
      </c>
      <c r="P81" s="182">
        <f t="shared" ref="P81:R81" si="20">SUM(P82:P86)</f>
        <v>3647032681</v>
      </c>
      <c r="Q81" s="182">
        <f t="shared" si="20"/>
        <v>3557882302</v>
      </c>
      <c r="R81" s="182">
        <f t="shared" si="20"/>
        <v>3557882302</v>
      </c>
      <c r="S81" s="37"/>
      <c r="T81" s="38">
        <f t="shared" si="18"/>
        <v>393967319</v>
      </c>
      <c r="U81" s="38">
        <f t="shared" si="17"/>
        <v>0</v>
      </c>
      <c r="V81" s="38">
        <f t="shared" ref="V81:V86" si="21">+P81-Q81</f>
        <v>89150379</v>
      </c>
      <c r="W81" s="38">
        <f t="shared" si="17"/>
        <v>0</v>
      </c>
      <c r="Y81" s="287"/>
    </row>
    <row r="82" spans="1:25" s="39" customFormat="1" ht="34.5" customHeight="1" x14ac:dyDescent="0.2">
      <c r="A82" s="219">
        <v>123</v>
      </c>
      <c r="B82" s="223">
        <v>1000</v>
      </c>
      <c r="C82" s="219">
        <v>1</v>
      </c>
      <c r="D82" s="219"/>
      <c r="E82" s="219">
        <v>20</v>
      </c>
      <c r="F82" s="224" t="s">
        <v>78</v>
      </c>
      <c r="G82" s="219">
        <f>+'REC20'!G82</f>
        <v>537000000</v>
      </c>
      <c r="H82" s="72"/>
      <c r="I82" s="98"/>
      <c r="J82" s="98"/>
      <c r="K82" s="98"/>
      <c r="L82" s="98"/>
      <c r="M82" s="185">
        <f t="shared" si="19"/>
        <v>537000000</v>
      </c>
      <c r="N82" s="36"/>
      <c r="O82" s="98">
        <f>+'REC20'!O82</f>
        <v>531903686</v>
      </c>
      <c r="P82" s="98">
        <f>+'REC20'!P82</f>
        <v>531903686</v>
      </c>
      <c r="Q82" s="98">
        <f>+'REC20'!Q82</f>
        <v>531903686</v>
      </c>
      <c r="R82" s="98">
        <f>+'REC20'!R82</f>
        <v>531903686</v>
      </c>
      <c r="S82" s="37"/>
      <c r="T82" s="98">
        <f t="shared" ref="T82" si="22">+M82-O82</f>
        <v>5096314</v>
      </c>
      <c r="U82" s="98">
        <f t="shared" ref="U82" si="23">+O82-P82</f>
        <v>0</v>
      </c>
      <c r="V82" s="98">
        <f t="shared" si="21"/>
        <v>0</v>
      </c>
      <c r="W82" s="98">
        <f t="shared" ref="W82" si="24">+Q82-R82</f>
        <v>0</v>
      </c>
      <c r="X82" s="102"/>
      <c r="Y82" s="287"/>
    </row>
    <row r="83" spans="1:25" s="39" customFormat="1" ht="45" customHeight="1" x14ac:dyDescent="0.2">
      <c r="A83" s="219">
        <v>510</v>
      </c>
      <c r="B83" s="223">
        <v>1000</v>
      </c>
      <c r="C83" s="219">
        <v>2</v>
      </c>
      <c r="D83" s="219"/>
      <c r="E83" s="219">
        <v>20</v>
      </c>
      <c r="F83" s="224" t="s">
        <v>84</v>
      </c>
      <c r="G83" s="219">
        <f>+'REC20'!G83</f>
        <v>109000000</v>
      </c>
      <c r="H83" s="72"/>
      <c r="I83" s="98">
        <f>+'REC20'!I82</f>
        <v>0</v>
      </c>
      <c r="J83" s="98">
        <f>+'REC20'!J82</f>
        <v>0</v>
      </c>
      <c r="K83" s="98">
        <f>+'REC20'!K82</f>
        <v>0</v>
      </c>
      <c r="L83" s="98">
        <f>+'REC20'!L82</f>
        <v>0</v>
      </c>
      <c r="M83" s="185">
        <f t="shared" si="19"/>
        <v>109000000</v>
      </c>
      <c r="N83" s="36"/>
      <c r="O83" s="98">
        <f>+'REC20'!O83</f>
        <v>37251000</v>
      </c>
      <c r="P83" s="98">
        <f>+'REC20'!P83</f>
        <v>37251000</v>
      </c>
      <c r="Q83" s="98">
        <f>+'REC20'!Q83</f>
        <v>37251000</v>
      </c>
      <c r="R83" s="98">
        <f>+'REC20'!R83</f>
        <v>37251000</v>
      </c>
      <c r="S83" s="37"/>
      <c r="T83" s="98">
        <f t="shared" si="18"/>
        <v>71749000</v>
      </c>
      <c r="U83" s="98">
        <f t="shared" si="17"/>
        <v>0</v>
      </c>
      <c r="V83" s="98">
        <f t="shared" si="21"/>
        <v>0</v>
      </c>
      <c r="W83" s="98">
        <f t="shared" si="17"/>
        <v>0</v>
      </c>
      <c r="Y83" s="287"/>
    </row>
    <row r="84" spans="1:25" ht="31.5" customHeight="1" x14ac:dyDescent="0.2">
      <c r="A84" s="219">
        <v>520</v>
      </c>
      <c r="B84" s="223">
        <v>1000</v>
      </c>
      <c r="C84" s="219">
        <v>5</v>
      </c>
      <c r="D84" s="219"/>
      <c r="E84" s="219">
        <v>20</v>
      </c>
      <c r="F84" s="224" t="s">
        <v>79</v>
      </c>
      <c r="G84" s="219">
        <f>+'REC20'!G84</f>
        <v>1104000000</v>
      </c>
      <c r="H84" s="127"/>
      <c r="I84" s="98">
        <f>+'REC20'!I83</f>
        <v>0</v>
      </c>
      <c r="J84" s="98">
        <f>+'REC20'!J83</f>
        <v>0</v>
      </c>
      <c r="K84" s="98">
        <f>+'REC20'!K83</f>
        <v>0</v>
      </c>
      <c r="L84" s="98">
        <f>+'REC20'!L83</f>
        <v>0</v>
      </c>
      <c r="M84" s="185">
        <f t="shared" si="19"/>
        <v>1104000000</v>
      </c>
      <c r="N84" s="97"/>
      <c r="O84" s="98">
        <f>+'REC20'!O84</f>
        <v>1011149357</v>
      </c>
      <c r="P84" s="98">
        <f>+'REC20'!P84</f>
        <v>1011149357</v>
      </c>
      <c r="Q84" s="98">
        <f>+'REC20'!Q84</f>
        <v>1011149357</v>
      </c>
      <c r="R84" s="98">
        <f>+'REC20'!R84</f>
        <v>1011149357</v>
      </c>
      <c r="S84" s="128"/>
      <c r="T84" s="98">
        <f t="shared" si="18"/>
        <v>92850643</v>
      </c>
      <c r="U84" s="98">
        <f>+O84-P84</f>
        <v>0</v>
      </c>
      <c r="V84" s="98">
        <f t="shared" si="21"/>
        <v>0</v>
      </c>
      <c r="W84" s="98">
        <f>+Q84-R84</f>
        <v>0</v>
      </c>
    </row>
    <row r="85" spans="1:25" ht="33.75" customHeight="1" x14ac:dyDescent="0.2">
      <c r="A85" s="219">
        <v>520</v>
      </c>
      <c r="B85" s="223">
        <v>1700</v>
      </c>
      <c r="C85" s="219">
        <v>1</v>
      </c>
      <c r="D85" s="219"/>
      <c r="E85" s="219">
        <v>20</v>
      </c>
      <c r="F85" s="224" t="s">
        <v>88</v>
      </c>
      <c r="G85" s="219">
        <f>+'REC20'!G85</f>
        <v>17000000</v>
      </c>
      <c r="H85" s="104"/>
      <c r="I85" s="98"/>
      <c r="J85" s="98"/>
      <c r="K85" s="98"/>
      <c r="L85" s="98"/>
      <c r="M85" s="185">
        <f t="shared" si="19"/>
        <v>17000000</v>
      </c>
      <c r="N85" s="97"/>
      <c r="O85" s="98">
        <f>+'REC20'!O85</f>
        <v>0</v>
      </c>
      <c r="P85" s="98">
        <f>+'REC20'!P85</f>
        <v>0</v>
      </c>
      <c r="Q85" s="98">
        <f>+'REC20'!Q85</f>
        <v>0</v>
      </c>
      <c r="R85" s="98">
        <f>+'REC20'!R85</f>
        <v>0</v>
      </c>
      <c r="S85" s="128"/>
      <c r="T85" s="98">
        <f>+M85-O85</f>
        <v>17000000</v>
      </c>
      <c r="U85" s="98">
        <f>+O85-P85</f>
        <v>0</v>
      </c>
      <c r="V85" s="98">
        <f t="shared" si="21"/>
        <v>0</v>
      </c>
      <c r="W85" s="98">
        <f>+Q85-R85</f>
        <v>0</v>
      </c>
    </row>
    <row r="86" spans="1:25" ht="42.75" customHeight="1" thickBot="1" x14ac:dyDescent="0.25">
      <c r="A86" s="219">
        <v>520</v>
      </c>
      <c r="B86" s="223">
        <v>1700</v>
      </c>
      <c r="C86" s="219">
        <v>2</v>
      </c>
      <c r="D86" s="219"/>
      <c r="E86" s="219"/>
      <c r="F86" s="224" t="s">
        <v>89</v>
      </c>
      <c r="G86" s="219">
        <f>+'REC20'!G86</f>
        <v>2274000000</v>
      </c>
      <c r="H86" s="104"/>
      <c r="I86" s="98">
        <f>+'REC20'!I86</f>
        <v>0</v>
      </c>
      <c r="J86" s="98">
        <f>+'REC20'!J86</f>
        <v>0</v>
      </c>
      <c r="K86" s="98">
        <f>+'REC20'!K86</f>
        <v>0</v>
      </c>
      <c r="L86" s="98">
        <f>+'REC20'!L86</f>
        <v>0</v>
      </c>
      <c r="M86" s="185">
        <f t="shared" si="19"/>
        <v>2274000000</v>
      </c>
      <c r="N86" s="99"/>
      <c r="O86" s="185">
        <f>+'REC20'!O86</f>
        <v>2066728638</v>
      </c>
      <c r="P86" s="185">
        <f>+'REC20'!P86</f>
        <v>2066728638</v>
      </c>
      <c r="Q86" s="185">
        <f>+'REC20'!Q86</f>
        <v>1977578259</v>
      </c>
      <c r="R86" s="185">
        <f>+'REC20'!R86</f>
        <v>1977578259</v>
      </c>
      <c r="S86" s="185"/>
      <c r="T86" s="185">
        <f>+M86-O86</f>
        <v>207271362</v>
      </c>
      <c r="U86" s="185">
        <f>+O86-P86</f>
        <v>0</v>
      </c>
      <c r="V86" s="98">
        <f t="shared" si="21"/>
        <v>89150379</v>
      </c>
      <c r="W86" s="98">
        <f>+Q86-R86</f>
        <v>0</v>
      </c>
      <c r="X86" s="68"/>
    </row>
    <row r="87" spans="1:25" ht="12.75" customHeight="1" thickBot="1" x14ac:dyDescent="0.25">
      <c r="A87" s="129"/>
      <c r="B87" s="129"/>
      <c r="C87" s="129"/>
      <c r="D87" s="129"/>
      <c r="E87" s="129"/>
      <c r="F87" s="129"/>
      <c r="G87" s="130"/>
      <c r="H87" s="131"/>
      <c r="I87" s="132"/>
      <c r="J87" s="132"/>
      <c r="K87" s="132"/>
      <c r="L87" s="132"/>
      <c r="M87" s="133"/>
      <c r="N87" s="133"/>
      <c r="O87" s="132"/>
      <c r="P87" s="132"/>
      <c r="Q87" s="132"/>
      <c r="R87" s="132"/>
      <c r="S87" s="134"/>
      <c r="T87" s="134"/>
      <c r="U87" s="134"/>
      <c r="V87" s="134"/>
      <c r="W87" s="135"/>
    </row>
    <row r="88" spans="1:25" x14ac:dyDescent="0.2">
      <c r="A88" s="108"/>
      <c r="B88" s="74"/>
      <c r="C88" s="74"/>
      <c r="D88" s="74"/>
      <c r="E88" s="74"/>
      <c r="F88" s="74"/>
      <c r="G88" s="109"/>
      <c r="H88" s="110"/>
      <c r="I88" s="111"/>
      <c r="J88" s="111"/>
      <c r="K88" s="111"/>
      <c r="L88" s="111"/>
      <c r="M88" s="112"/>
      <c r="N88" s="112"/>
      <c r="O88" s="111"/>
      <c r="P88" s="111"/>
      <c r="Q88" s="111"/>
      <c r="R88" s="111"/>
      <c r="S88" s="113"/>
      <c r="T88" s="113"/>
      <c r="U88" s="113"/>
      <c r="V88" s="113"/>
      <c r="W88" s="114"/>
    </row>
    <row r="89" spans="1:25" x14ac:dyDescent="0.2">
      <c r="A89" s="115"/>
      <c r="B89" s="73"/>
      <c r="C89" s="73"/>
      <c r="D89" s="73"/>
      <c r="E89" s="73"/>
      <c r="F89" s="73"/>
      <c r="G89" s="105"/>
      <c r="H89" s="106"/>
      <c r="I89" s="81"/>
      <c r="J89" s="81"/>
      <c r="K89" s="81"/>
      <c r="L89" s="81"/>
      <c r="M89" s="107"/>
      <c r="N89" s="107"/>
      <c r="O89" s="81"/>
      <c r="P89" s="81"/>
      <c r="Q89" s="81"/>
      <c r="R89" s="81"/>
      <c r="S89" s="103"/>
      <c r="T89" s="103"/>
      <c r="U89" s="103"/>
      <c r="V89" s="103"/>
      <c r="W89" s="116"/>
    </row>
    <row r="90" spans="1:25" x14ac:dyDescent="0.2">
      <c r="A90" s="115"/>
      <c r="B90" s="73"/>
      <c r="C90" s="73"/>
      <c r="D90" s="73"/>
      <c r="E90" s="73"/>
      <c r="F90" s="73"/>
      <c r="G90" s="105"/>
      <c r="H90" s="106"/>
      <c r="I90" s="81"/>
      <c r="J90" s="81"/>
      <c r="K90" s="81"/>
      <c r="L90" s="81"/>
      <c r="M90" s="107"/>
      <c r="N90" s="107"/>
      <c r="O90" s="81"/>
      <c r="P90" s="81"/>
      <c r="Q90" s="81"/>
      <c r="R90" s="81"/>
      <c r="S90" s="103"/>
      <c r="T90" s="103"/>
      <c r="U90" s="103"/>
      <c r="V90" s="103"/>
      <c r="W90" s="116"/>
    </row>
    <row r="91" spans="1:25" x14ac:dyDescent="0.2">
      <c r="A91" s="117"/>
      <c r="B91" s="73"/>
      <c r="C91" s="73"/>
      <c r="D91" s="73"/>
      <c r="E91" s="118" t="s">
        <v>93</v>
      </c>
      <c r="F91" s="73"/>
      <c r="G91" s="105"/>
      <c r="H91" s="106"/>
      <c r="I91" s="81"/>
      <c r="J91" s="81"/>
      <c r="K91" s="81"/>
      <c r="L91" s="81"/>
      <c r="M91" s="107"/>
      <c r="N91" s="107"/>
      <c r="O91" s="118" t="s">
        <v>85</v>
      </c>
      <c r="P91" s="119"/>
      <c r="Q91" s="81"/>
      <c r="R91" s="81"/>
      <c r="S91" s="103"/>
      <c r="T91" s="103"/>
      <c r="U91" s="103"/>
      <c r="V91" s="103"/>
      <c r="W91" s="116"/>
    </row>
    <row r="92" spans="1:25" x14ac:dyDescent="0.2">
      <c r="A92" s="115"/>
      <c r="B92" s="73"/>
      <c r="C92" s="73"/>
      <c r="D92" s="73"/>
      <c r="E92" s="73" t="s">
        <v>94</v>
      </c>
      <c r="F92" s="73"/>
      <c r="G92" s="105"/>
      <c r="H92" s="106"/>
      <c r="I92" s="81"/>
      <c r="J92" s="81"/>
      <c r="K92" s="81"/>
      <c r="L92" s="81"/>
      <c r="M92" s="107"/>
      <c r="N92" s="107"/>
      <c r="O92" s="107" t="s">
        <v>91</v>
      </c>
      <c r="P92" s="107"/>
      <c r="Q92" s="81"/>
      <c r="R92" s="81"/>
      <c r="S92" s="103"/>
      <c r="T92" s="103"/>
      <c r="U92" s="103"/>
      <c r="V92" s="103"/>
      <c r="W92" s="116"/>
    </row>
    <row r="93" spans="1:25" ht="12.75" thickBot="1" x14ac:dyDescent="0.25">
      <c r="A93" s="120"/>
      <c r="B93" s="75"/>
      <c r="C93" s="75"/>
      <c r="D93" s="75"/>
      <c r="E93" s="75"/>
      <c r="F93" s="75"/>
      <c r="G93" s="121"/>
      <c r="H93" s="122"/>
      <c r="I93" s="123"/>
      <c r="J93" s="123"/>
      <c r="K93" s="123"/>
      <c r="L93" s="123"/>
      <c r="M93" s="124"/>
      <c r="N93" s="124"/>
      <c r="O93" s="124" t="s">
        <v>86</v>
      </c>
      <c r="P93" s="123"/>
      <c r="Q93" s="123"/>
      <c r="R93" s="123"/>
      <c r="S93" s="125"/>
      <c r="T93" s="125"/>
      <c r="U93" s="125"/>
      <c r="V93" s="125"/>
      <c r="W93" s="126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59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1"/>
  </sheetPr>
  <dimension ref="A1:Q108"/>
  <sheetViews>
    <sheetView tabSelected="1" topLeftCell="A73" workbookViewId="0">
      <selection activeCell="J86" sqref="J86"/>
    </sheetView>
  </sheetViews>
  <sheetFormatPr baseColWidth="10" defaultColWidth="11.5703125" defaultRowHeight="12.75" x14ac:dyDescent="0.2"/>
  <cols>
    <col min="1" max="1" width="4.7109375" style="6" customWidth="1"/>
    <col min="2" max="2" width="5" style="6" customWidth="1"/>
    <col min="3" max="3" width="4.85546875" style="6" bestFit="1" customWidth="1"/>
    <col min="4" max="4" width="6" style="6" customWidth="1"/>
    <col min="5" max="5" width="5.28515625" style="6" customWidth="1"/>
    <col min="6" max="6" width="45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8" style="159" customWidth="1"/>
    <col min="11" max="11" width="18.140625" style="159" customWidth="1"/>
    <col min="12" max="12" width="1.7109375" style="5" customWidth="1"/>
    <col min="13" max="13" width="17.140625" style="59" customWidth="1"/>
    <col min="14" max="14" width="11.5703125" style="148" customWidth="1"/>
    <col min="15" max="15" width="14.710937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161"/>
    </row>
    <row r="2" spans="1:17" s="1" customFormat="1" x14ac:dyDescent="0.2">
      <c r="A2" s="296" t="s">
        <v>1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148"/>
    </row>
    <row r="3" spans="1:17" s="1" customFormat="1" ht="14.25" x14ac:dyDescent="0.2">
      <c r="A3" s="318" t="s">
        <v>67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148"/>
    </row>
    <row r="4" spans="1:17" s="1" customFormat="1" ht="13.5" thickBot="1" x14ac:dyDescent="0.25">
      <c r="F4" s="11"/>
      <c r="G4" s="13"/>
      <c r="H4" s="12"/>
      <c r="I4" s="14"/>
      <c r="J4" s="79"/>
      <c r="K4" s="79"/>
      <c r="L4" s="2"/>
      <c r="M4" s="149"/>
      <c r="N4" s="148"/>
    </row>
    <row r="5" spans="1:17" s="4" customFormat="1" ht="20.25" customHeight="1" thickBot="1" x14ac:dyDescent="0.25">
      <c r="A5" s="297" t="s">
        <v>3</v>
      </c>
      <c r="B5" s="297" t="s">
        <v>4</v>
      </c>
      <c r="C5" s="297" t="s">
        <v>5</v>
      </c>
      <c r="D5" s="297" t="s">
        <v>6</v>
      </c>
      <c r="E5" s="297" t="s">
        <v>7</v>
      </c>
      <c r="F5" s="297" t="s">
        <v>8</v>
      </c>
      <c r="G5" s="309" t="s">
        <v>13</v>
      </c>
      <c r="H5" s="137"/>
      <c r="I5" s="67"/>
      <c r="J5" s="312" t="s">
        <v>97</v>
      </c>
      <c r="K5" s="312"/>
      <c r="L5" s="3"/>
      <c r="M5" s="315" t="s">
        <v>68</v>
      </c>
      <c r="N5" s="313" t="s">
        <v>72</v>
      </c>
    </row>
    <row r="6" spans="1:17" s="4" customFormat="1" ht="18.75" customHeight="1" thickBot="1" x14ac:dyDescent="0.25">
      <c r="A6" s="298"/>
      <c r="B6" s="298"/>
      <c r="C6" s="298"/>
      <c r="D6" s="298"/>
      <c r="E6" s="298"/>
      <c r="F6" s="298"/>
      <c r="G6" s="310"/>
      <c r="H6" s="137"/>
      <c r="I6" s="146"/>
      <c r="J6" s="147" t="s">
        <v>16</v>
      </c>
      <c r="K6" s="147" t="s">
        <v>17</v>
      </c>
      <c r="L6" s="3"/>
      <c r="M6" s="316"/>
      <c r="N6" s="314"/>
    </row>
    <row r="7" spans="1:17" x14ac:dyDescent="0.2">
      <c r="A7" s="69"/>
      <c r="B7" s="69"/>
      <c r="C7" s="69"/>
      <c r="D7" s="69"/>
      <c r="E7" s="69"/>
      <c r="F7" s="69"/>
      <c r="G7" s="90"/>
      <c r="H7" s="138"/>
      <c r="I7" s="16"/>
      <c r="J7" s="150"/>
      <c r="K7" s="150"/>
      <c r="M7" s="150"/>
      <c r="N7" s="151"/>
      <c r="P7" s="272"/>
    </row>
    <row r="8" spans="1:17" x14ac:dyDescent="0.2">
      <c r="A8" s="71"/>
      <c r="B8" s="71"/>
      <c r="C8" s="71"/>
      <c r="D8" s="71"/>
      <c r="E8" s="71"/>
      <c r="F8" s="70" t="s">
        <v>81</v>
      </c>
      <c r="G8" s="211">
        <f>+CONSOLIDACION!M8</f>
        <v>12044640406</v>
      </c>
      <c r="H8" s="138"/>
      <c r="I8" s="16"/>
      <c r="J8" s="211">
        <f>+CONSOLIDACION!O8</f>
        <v>10570460753</v>
      </c>
      <c r="K8" s="211">
        <f>+CONSOLIDACION!P8</f>
        <v>10570460753</v>
      </c>
      <c r="M8" s="211">
        <f>+G8-J8</f>
        <v>1474179653</v>
      </c>
      <c r="N8" s="152">
        <f>(K8/G8)*100</f>
        <v>87.76070016780541</v>
      </c>
      <c r="P8" s="272"/>
    </row>
    <row r="9" spans="1:17" x14ac:dyDescent="0.2">
      <c r="A9" s="71"/>
      <c r="B9" s="71"/>
      <c r="C9" s="71"/>
      <c r="D9" s="71"/>
      <c r="E9" s="71"/>
      <c r="F9" s="71"/>
      <c r="G9" s="211"/>
      <c r="H9" s="138"/>
      <c r="I9" s="16"/>
      <c r="J9" s="58"/>
      <c r="K9" s="58"/>
      <c r="M9" s="58"/>
      <c r="N9" s="151"/>
    </row>
    <row r="10" spans="1:17" s="43" customFormat="1" x14ac:dyDescent="0.2">
      <c r="A10" s="33">
        <v>1</v>
      </c>
      <c r="B10" s="71"/>
      <c r="C10" s="71"/>
      <c r="D10" s="71"/>
      <c r="E10" s="71"/>
      <c r="F10" s="70" t="s">
        <v>20</v>
      </c>
      <c r="G10" s="211">
        <f>+CONSOLIDACION!M10</f>
        <v>8003640406</v>
      </c>
      <c r="H10" s="139"/>
      <c r="I10" s="17"/>
      <c r="J10" s="57">
        <f>+CONSOLIDACION!O10</f>
        <v>6923428072</v>
      </c>
      <c r="K10" s="57">
        <f>+CONSOLIDACION!P10</f>
        <v>6923428072</v>
      </c>
      <c r="L10" s="49"/>
      <c r="M10" s="57">
        <f>+G10-J10</f>
        <v>1080212334</v>
      </c>
      <c r="N10" s="152">
        <f>(K10/G10)*100</f>
        <v>86.503487423170469</v>
      </c>
      <c r="P10" s="49"/>
      <c r="Q10" s="49"/>
    </row>
    <row r="11" spans="1:17" s="43" customFormat="1" x14ac:dyDescent="0.2">
      <c r="A11" s="71"/>
      <c r="B11" s="71"/>
      <c r="C11" s="71"/>
      <c r="D11" s="71"/>
      <c r="E11" s="71"/>
      <c r="F11" s="71"/>
      <c r="G11" s="211"/>
      <c r="H11" s="139"/>
      <c r="I11" s="17"/>
      <c r="J11" s="57"/>
      <c r="K11" s="57"/>
      <c r="L11" s="49"/>
      <c r="M11" s="57"/>
      <c r="N11" s="153"/>
      <c r="P11" s="49"/>
      <c r="Q11" s="49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1">
        <f>+CONSOLIDACION!M12</f>
        <v>5648156093</v>
      </c>
      <c r="H12" s="139"/>
      <c r="I12" s="18"/>
      <c r="J12" s="57">
        <f>+CONSOLIDACION!O12</f>
        <v>5033696693</v>
      </c>
      <c r="K12" s="57">
        <f>+CONSOLIDACION!P12</f>
        <v>5033696693</v>
      </c>
      <c r="L12" s="50"/>
      <c r="M12" s="57">
        <f>+G12-J12</f>
        <v>614459400</v>
      </c>
      <c r="N12" s="152">
        <f>(+K12/G12)*100</f>
        <v>89.121061991159806</v>
      </c>
      <c r="P12" s="49"/>
      <c r="Q12" s="49"/>
    </row>
    <row r="13" spans="1:17" s="43" customFormat="1" x14ac:dyDescent="0.2">
      <c r="A13" s="96"/>
      <c r="B13" s="96"/>
      <c r="C13" s="96"/>
      <c r="D13" s="96"/>
      <c r="E13" s="96"/>
      <c r="F13" s="31"/>
      <c r="G13" s="211"/>
      <c r="H13" s="139"/>
      <c r="I13" s="19"/>
      <c r="J13" s="56"/>
      <c r="K13" s="56"/>
      <c r="L13" s="49"/>
      <c r="M13" s="56"/>
      <c r="N13" s="153"/>
      <c r="P13" s="49"/>
      <c r="Q13" s="49"/>
    </row>
    <row r="14" spans="1:17" s="42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1">
        <f>+CONSOLIDACION!M14</f>
        <v>4032732994</v>
      </c>
      <c r="H14" s="139"/>
      <c r="I14" s="17"/>
      <c r="J14" s="57">
        <f>+CONSOLIDACION!O14</f>
        <v>3520841366</v>
      </c>
      <c r="K14" s="57">
        <f>+CONSOLIDACION!P14</f>
        <v>3520841366</v>
      </c>
      <c r="L14" s="50"/>
      <c r="M14" s="57">
        <f>+G14-J14</f>
        <v>511891628</v>
      </c>
      <c r="N14" s="152">
        <f>(+K14/G14)*100</f>
        <v>87.306582688176846</v>
      </c>
      <c r="P14" s="49"/>
      <c r="Q14" s="49"/>
    </row>
    <row r="15" spans="1:17" s="42" customFormat="1" x14ac:dyDescent="0.2">
      <c r="A15" s="33"/>
      <c r="B15" s="33"/>
      <c r="C15" s="33"/>
      <c r="D15" s="33"/>
      <c r="E15" s="33"/>
      <c r="F15" s="31"/>
      <c r="G15" s="211"/>
      <c r="H15" s="139"/>
      <c r="I15" s="17"/>
      <c r="J15" s="57"/>
      <c r="K15" s="57"/>
      <c r="L15" s="50"/>
      <c r="M15" s="57"/>
      <c r="N15" s="153"/>
      <c r="P15" s="49"/>
      <c r="Q15" s="49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1">
        <f>+CONSOLIDACION!M16</f>
        <v>2780336698</v>
      </c>
      <c r="H16" s="139"/>
      <c r="I16" s="17"/>
      <c r="J16" s="57">
        <f>+CONSOLIDACION!O16</f>
        <v>2590579190</v>
      </c>
      <c r="K16" s="57">
        <f>+CONSOLIDACION!P16</f>
        <v>2590579190</v>
      </c>
      <c r="L16" s="50"/>
      <c r="M16" s="57">
        <f>+G16-J16</f>
        <v>189757508</v>
      </c>
      <c r="N16" s="152">
        <f>(+K16/G16)*100</f>
        <v>93.175016963359155</v>
      </c>
      <c r="P16" s="49"/>
      <c r="Q16" s="49"/>
    </row>
    <row r="17" spans="1:17" s="43" customFormat="1" x14ac:dyDescent="0.2">
      <c r="A17" s="96">
        <v>1</v>
      </c>
      <c r="B17" s="96">
        <v>0</v>
      </c>
      <c r="C17" s="96">
        <v>1</v>
      </c>
      <c r="D17" s="96">
        <v>1</v>
      </c>
      <c r="E17" s="96">
        <v>1</v>
      </c>
      <c r="F17" s="22" t="s">
        <v>46</v>
      </c>
      <c r="G17" s="61">
        <f>+CONSOLIDACION!M17</f>
        <v>2590336698</v>
      </c>
      <c r="H17" s="140"/>
      <c r="I17" s="19"/>
      <c r="J17" s="61">
        <f>+CONSOLIDACION!O17</f>
        <v>2495094247</v>
      </c>
      <c r="K17" s="61">
        <f>+CONSOLIDACION!P17</f>
        <v>2495094247</v>
      </c>
      <c r="L17" s="49"/>
      <c r="M17" s="61">
        <f>+G17-J17</f>
        <v>95242451</v>
      </c>
      <c r="N17" s="153">
        <f>(+K17/G17)*100</f>
        <v>96.323163275510211</v>
      </c>
      <c r="P17" s="49"/>
      <c r="Q17" s="49"/>
    </row>
    <row r="18" spans="1:17" s="43" customFormat="1" x14ac:dyDescent="0.2">
      <c r="A18" s="96">
        <v>1</v>
      </c>
      <c r="B18" s="96">
        <v>0</v>
      </c>
      <c r="C18" s="96">
        <v>1</v>
      </c>
      <c r="D18" s="96">
        <v>1</v>
      </c>
      <c r="E18" s="96">
        <v>2</v>
      </c>
      <c r="F18" s="22" t="s">
        <v>47</v>
      </c>
      <c r="G18" s="61">
        <f>+CONSOLIDACION!M18</f>
        <v>190000000</v>
      </c>
      <c r="H18" s="140"/>
      <c r="I18" s="19"/>
      <c r="J18" s="163">
        <f>+CONSOLIDACION!O18</f>
        <v>95484943</v>
      </c>
      <c r="K18" s="163">
        <f>+CONSOLIDACION!P18</f>
        <v>95484943</v>
      </c>
      <c r="L18" s="49"/>
      <c r="M18" s="163">
        <f>+G18-J18</f>
        <v>94515057</v>
      </c>
      <c r="N18" s="153">
        <f>(+K18/G18)*100</f>
        <v>50.255233157894743</v>
      </c>
      <c r="P18" s="49"/>
      <c r="Q18" s="49"/>
    </row>
    <row r="19" spans="1:17" s="43" customFormat="1" x14ac:dyDescent="0.2">
      <c r="A19" s="96"/>
      <c r="B19" s="96"/>
      <c r="C19" s="96"/>
      <c r="D19" s="96"/>
      <c r="E19" s="96"/>
      <c r="F19" s="22"/>
      <c r="G19" s="61"/>
      <c r="H19" s="140"/>
      <c r="I19" s="19"/>
      <c r="J19" s="61"/>
      <c r="K19" s="61"/>
      <c r="L19" s="49"/>
      <c r="M19" s="61"/>
      <c r="N19" s="153"/>
      <c r="P19" s="49"/>
      <c r="Q19" s="49"/>
    </row>
    <row r="20" spans="1:17" s="43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95">
        <f>+CONSOLIDACION!M20</f>
        <v>353890290</v>
      </c>
      <c r="H20" s="140"/>
      <c r="I20" s="19"/>
      <c r="J20" s="95">
        <f>+CONSOLIDACION!O20</f>
        <v>260901502</v>
      </c>
      <c r="K20" s="95">
        <f>+CONSOLIDACION!P20</f>
        <v>260901502</v>
      </c>
      <c r="L20" s="49"/>
      <c r="M20" s="95">
        <f t="shared" ref="M20:M78" si="0">+G20-J20</f>
        <v>92988788</v>
      </c>
      <c r="N20" s="152">
        <f>(+K20/G20)*100</f>
        <v>73.723837407350175</v>
      </c>
      <c r="P20" s="49"/>
      <c r="Q20" s="49"/>
    </row>
    <row r="21" spans="1:17" s="42" customFormat="1" x14ac:dyDescent="0.2">
      <c r="A21" s="96">
        <v>1</v>
      </c>
      <c r="B21" s="96">
        <v>0</v>
      </c>
      <c r="C21" s="96">
        <v>1</v>
      </c>
      <c r="D21" s="96">
        <v>4</v>
      </c>
      <c r="E21" s="96">
        <v>1</v>
      </c>
      <c r="F21" s="22" t="s">
        <v>48</v>
      </c>
      <c r="G21" s="163">
        <f>+CONSOLIDACION!M21</f>
        <v>39450290</v>
      </c>
      <c r="H21" s="139"/>
      <c r="I21" s="17"/>
      <c r="J21" s="163">
        <f>+CONSOLIDACION!O21</f>
        <v>2847046</v>
      </c>
      <c r="K21" s="163">
        <f>+CONSOLIDACION!P21</f>
        <v>2847046</v>
      </c>
      <c r="L21" s="50"/>
      <c r="M21" s="100">
        <f t="shared" si="0"/>
        <v>36603244</v>
      </c>
      <c r="N21" s="153">
        <f>(+K21/G21)*100</f>
        <v>7.2167935901104912</v>
      </c>
      <c r="P21" s="49"/>
      <c r="Q21" s="49"/>
    </row>
    <row r="22" spans="1:17" s="43" customFormat="1" x14ac:dyDescent="0.2">
      <c r="A22" s="96">
        <v>1</v>
      </c>
      <c r="B22" s="96">
        <v>0</v>
      </c>
      <c r="C22" s="96">
        <v>1</v>
      </c>
      <c r="D22" s="96">
        <v>4</v>
      </c>
      <c r="E22" s="96">
        <v>2</v>
      </c>
      <c r="F22" s="22" t="s">
        <v>49</v>
      </c>
      <c r="G22" s="163">
        <f>+CONSOLIDACION!M22</f>
        <v>314440000</v>
      </c>
      <c r="H22" s="140"/>
      <c r="I22" s="19"/>
      <c r="J22" s="163">
        <f>+CONSOLIDACION!O22</f>
        <v>258054456</v>
      </c>
      <c r="K22" s="163">
        <f>+CONSOLIDACION!P22</f>
        <v>258054456</v>
      </c>
      <c r="L22" s="49"/>
      <c r="M22" s="61">
        <f t="shared" si="0"/>
        <v>56385544</v>
      </c>
      <c r="N22" s="153">
        <f>(+K22/G22)*100</f>
        <v>82.06794809820633</v>
      </c>
      <c r="P22" s="49"/>
      <c r="Q22" s="49"/>
    </row>
    <row r="23" spans="1:17" s="43" customFormat="1" x14ac:dyDescent="0.2">
      <c r="A23" s="96"/>
      <c r="B23" s="96"/>
      <c r="C23" s="96"/>
      <c r="D23" s="96"/>
      <c r="E23" s="96"/>
      <c r="F23" s="22"/>
      <c r="G23" s="98"/>
      <c r="H23" s="140"/>
      <c r="I23" s="19"/>
      <c r="J23" s="61"/>
      <c r="K23" s="61"/>
      <c r="L23" s="49"/>
      <c r="M23" s="61"/>
      <c r="N23" s="153"/>
      <c r="P23" s="49"/>
      <c r="Q23" s="49"/>
    </row>
    <row r="24" spans="1:17" s="43" customFormat="1" x14ac:dyDescent="0.2">
      <c r="A24" s="96">
        <v>1</v>
      </c>
      <c r="B24" s="96">
        <v>0</v>
      </c>
      <c r="C24" s="96">
        <v>1</v>
      </c>
      <c r="D24" s="96">
        <v>5</v>
      </c>
      <c r="E24" s="96"/>
      <c r="F24" s="31" t="s">
        <v>25</v>
      </c>
      <c r="G24" s="95">
        <f>+CONSOLIDACION!M24</f>
        <v>658417124</v>
      </c>
      <c r="H24" s="141"/>
      <c r="I24" s="40"/>
      <c r="J24" s="95">
        <f>+CONSOLIDACION!O24</f>
        <v>593688861</v>
      </c>
      <c r="K24" s="95">
        <f>+CONSOLIDACION!P24</f>
        <v>593688861</v>
      </c>
      <c r="L24" s="51"/>
      <c r="M24" s="95">
        <f t="shared" si="0"/>
        <v>64728263</v>
      </c>
      <c r="N24" s="152">
        <f t="shared" ref="N24:N86" si="1">(+K24/G24)*100</f>
        <v>90.169110030619436</v>
      </c>
      <c r="P24" s="49"/>
      <c r="Q24" s="49"/>
    </row>
    <row r="25" spans="1:17" s="43" customFormat="1" x14ac:dyDescent="0.2">
      <c r="A25" s="96">
        <v>1</v>
      </c>
      <c r="B25" s="96">
        <v>0</v>
      </c>
      <c r="C25" s="96">
        <v>1</v>
      </c>
      <c r="D25" s="96">
        <v>5</v>
      </c>
      <c r="E25" s="96">
        <v>2</v>
      </c>
      <c r="F25" s="22" t="s">
        <v>50</v>
      </c>
      <c r="G25" s="100">
        <f>+CONSOLIDACION!M25</f>
        <v>82623716</v>
      </c>
      <c r="H25" s="139"/>
      <c r="I25" s="17"/>
      <c r="J25" s="100">
        <f>+CONSOLIDACION!O25</f>
        <v>71536158</v>
      </c>
      <c r="K25" s="100">
        <f>+CONSOLIDACION!P25</f>
        <v>71536158</v>
      </c>
      <c r="L25" s="49"/>
      <c r="M25" s="100">
        <f t="shared" si="0"/>
        <v>11087558</v>
      </c>
      <c r="N25" s="153">
        <f t="shared" si="1"/>
        <v>86.580659238323292</v>
      </c>
      <c r="P25" s="49"/>
      <c r="Q25" s="49"/>
    </row>
    <row r="26" spans="1:17" s="43" customFormat="1" x14ac:dyDescent="0.2">
      <c r="A26" s="96">
        <v>1</v>
      </c>
      <c r="B26" s="96">
        <v>0</v>
      </c>
      <c r="C26" s="96">
        <v>1</v>
      </c>
      <c r="D26" s="96">
        <v>5</v>
      </c>
      <c r="E26" s="96">
        <v>5</v>
      </c>
      <c r="F26" s="22" t="s">
        <v>51</v>
      </c>
      <c r="G26" s="100">
        <f>+CONSOLIDACION!M26</f>
        <v>17850000</v>
      </c>
      <c r="H26" s="140"/>
      <c r="I26" s="19"/>
      <c r="J26" s="100">
        <f>+CONSOLIDACION!O26</f>
        <v>11200837</v>
      </c>
      <c r="K26" s="100">
        <f>+CONSOLIDACION!P26</f>
        <v>11200837</v>
      </c>
      <c r="L26" s="49"/>
      <c r="M26" s="61">
        <f t="shared" si="0"/>
        <v>6649163</v>
      </c>
      <c r="N26" s="153">
        <f t="shared" si="1"/>
        <v>62.749787114845937</v>
      </c>
      <c r="P26" s="49"/>
      <c r="Q26" s="49"/>
    </row>
    <row r="27" spans="1:17" s="43" customFormat="1" x14ac:dyDescent="0.2">
      <c r="A27" s="96">
        <v>1</v>
      </c>
      <c r="B27" s="96">
        <v>0</v>
      </c>
      <c r="C27" s="96">
        <v>1</v>
      </c>
      <c r="D27" s="96">
        <v>5</v>
      </c>
      <c r="E27" s="96">
        <v>12</v>
      </c>
      <c r="F27" s="22" t="s">
        <v>52</v>
      </c>
      <c r="G27" s="100">
        <f>+CONSOLIDACION!M27</f>
        <v>7716000</v>
      </c>
      <c r="H27" s="140"/>
      <c r="I27" s="19"/>
      <c r="J27" s="100">
        <f>+CONSOLIDACION!O27</f>
        <v>6987307</v>
      </c>
      <c r="K27" s="100">
        <f>+CONSOLIDACION!P27</f>
        <v>6987307</v>
      </c>
      <c r="L27" s="49"/>
      <c r="M27" s="61">
        <f t="shared" si="0"/>
        <v>728693</v>
      </c>
      <c r="N27" s="153">
        <f t="shared" si="1"/>
        <v>90.556078278900983</v>
      </c>
      <c r="P27" s="49"/>
      <c r="Q27" s="49"/>
    </row>
    <row r="28" spans="1:17" s="43" customFormat="1" x14ac:dyDescent="0.2">
      <c r="A28" s="96">
        <v>1</v>
      </c>
      <c r="B28" s="96">
        <v>0</v>
      </c>
      <c r="C28" s="96">
        <v>1</v>
      </c>
      <c r="D28" s="96">
        <v>5</v>
      </c>
      <c r="E28" s="96">
        <v>13</v>
      </c>
      <c r="F28" s="22" t="s">
        <v>53</v>
      </c>
      <c r="G28" s="100">
        <f>+CONSOLIDACION!M28</f>
        <v>9177000</v>
      </c>
      <c r="H28" s="140"/>
      <c r="I28" s="19"/>
      <c r="J28" s="100">
        <f>+CONSOLIDACION!O28</f>
        <v>8270723</v>
      </c>
      <c r="K28" s="100">
        <f>+CONSOLIDACION!P28</f>
        <v>8270723</v>
      </c>
      <c r="L28" s="49"/>
      <c r="M28" s="61">
        <f t="shared" si="0"/>
        <v>906277</v>
      </c>
      <c r="N28" s="153">
        <f t="shared" si="1"/>
        <v>90.12447422905089</v>
      </c>
      <c r="P28" s="49"/>
      <c r="Q28" s="49"/>
    </row>
    <row r="29" spans="1:17" s="43" customFormat="1" x14ac:dyDescent="0.2">
      <c r="A29" s="96">
        <v>1</v>
      </c>
      <c r="B29" s="96">
        <v>0</v>
      </c>
      <c r="C29" s="96">
        <v>1</v>
      </c>
      <c r="D29" s="96">
        <v>5</v>
      </c>
      <c r="E29" s="96">
        <v>14</v>
      </c>
      <c r="F29" s="22" t="s">
        <v>54</v>
      </c>
      <c r="G29" s="100">
        <f>+CONSOLIDACION!M29</f>
        <v>118771269</v>
      </c>
      <c r="H29" s="140"/>
      <c r="I29" s="19"/>
      <c r="J29" s="100">
        <f>+CONSOLIDACION!O29</f>
        <v>109779927</v>
      </c>
      <c r="K29" s="100">
        <f>+CONSOLIDACION!P29</f>
        <v>109779927</v>
      </c>
      <c r="L29" s="49"/>
      <c r="M29" s="163">
        <f t="shared" si="0"/>
        <v>8991342</v>
      </c>
      <c r="N29" s="153">
        <f t="shared" si="1"/>
        <v>92.429699475552468</v>
      </c>
      <c r="P29" s="49"/>
      <c r="Q29" s="49"/>
    </row>
    <row r="30" spans="1:17" s="43" customFormat="1" x14ac:dyDescent="0.2">
      <c r="A30" s="96">
        <v>1</v>
      </c>
      <c r="B30" s="96">
        <v>0</v>
      </c>
      <c r="C30" s="96">
        <v>1</v>
      </c>
      <c r="D30" s="96">
        <v>5</v>
      </c>
      <c r="E30" s="96">
        <v>15</v>
      </c>
      <c r="F30" s="22" t="s">
        <v>55</v>
      </c>
      <c r="G30" s="100">
        <f>+CONSOLIDACION!M30</f>
        <v>110744120</v>
      </c>
      <c r="H30" s="140"/>
      <c r="I30" s="19"/>
      <c r="J30" s="100">
        <f>+CONSOLIDACION!O30</f>
        <v>90321099</v>
      </c>
      <c r="K30" s="100">
        <f>+CONSOLIDACION!P30</f>
        <v>90321099</v>
      </c>
      <c r="L30" s="49"/>
      <c r="M30" s="61">
        <f t="shared" si="0"/>
        <v>20423021</v>
      </c>
      <c r="N30" s="153">
        <f t="shared" si="1"/>
        <v>81.558369871014364</v>
      </c>
      <c r="P30" s="49"/>
      <c r="Q30" s="49"/>
    </row>
    <row r="31" spans="1:17" s="43" customFormat="1" x14ac:dyDescent="0.2">
      <c r="A31" s="96">
        <v>1</v>
      </c>
      <c r="B31" s="96">
        <v>0</v>
      </c>
      <c r="C31" s="96">
        <v>1</v>
      </c>
      <c r="D31" s="96">
        <v>5</v>
      </c>
      <c r="E31" s="96">
        <v>16</v>
      </c>
      <c r="F31" s="22" t="s">
        <v>56</v>
      </c>
      <c r="G31" s="100">
        <f>+CONSOLIDACION!M31</f>
        <v>256300000</v>
      </c>
      <c r="H31" s="140"/>
      <c r="I31" s="19"/>
      <c r="J31" s="100">
        <f>+CONSOLIDACION!O31</f>
        <v>245309904</v>
      </c>
      <c r="K31" s="100">
        <f>+CONSOLIDACION!P31</f>
        <v>245309904</v>
      </c>
      <c r="L31" s="49"/>
      <c r="M31" s="61">
        <f t="shared" si="0"/>
        <v>10990096</v>
      </c>
      <c r="N31" s="153">
        <f t="shared" si="1"/>
        <v>95.712018728053067</v>
      </c>
      <c r="P31" s="49"/>
      <c r="Q31" s="49"/>
    </row>
    <row r="32" spans="1:17" s="43" customFormat="1" x14ac:dyDescent="0.2">
      <c r="A32" s="96">
        <v>1</v>
      </c>
      <c r="B32" s="96">
        <v>0</v>
      </c>
      <c r="C32" s="96">
        <v>1</v>
      </c>
      <c r="D32" s="96">
        <v>5</v>
      </c>
      <c r="E32" s="96">
        <v>47</v>
      </c>
      <c r="F32" s="22" t="s">
        <v>57</v>
      </c>
      <c r="G32" s="100">
        <f>+CONSOLIDACION!M32</f>
        <v>55235019</v>
      </c>
      <c r="H32" s="140"/>
      <c r="I32" s="19"/>
      <c r="J32" s="100">
        <f>+CONSOLIDACION!O32</f>
        <v>50282906</v>
      </c>
      <c r="K32" s="100">
        <f>+CONSOLIDACION!P32</f>
        <v>50282906</v>
      </c>
      <c r="L32" s="49"/>
      <c r="M32" s="61">
        <f t="shared" si="0"/>
        <v>4952113</v>
      </c>
      <c r="N32" s="153">
        <f t="shared" si="1"/>
        <v>91.034468549743778</v>
      </c>
      <c r="P32" s="49"/>
      <c r="Q32" s="49"/>
    </row>
    <row r="33" spans="1:17" s="43" customFormat="1" x14ac:dyDescent="0.2">
      <c r="A33" s="96"/>
      <c r="B33" s="96"/>
      <c r="C33" s="96"/>
      <c r="D33" s="96"/>
      <c r="E33" s="96"/>
      <c r="F33" s="22"/>
      <c r="G33" s="98"/>
      <c r="H33" s="140"/>
      <c r="I33" s="19"/>
      <c r="J33" s="61"/>
      <c r="K33" s="61"/>
      <c r="L33" s="49"/>
      <c r="M33" s="61"/>
      <c r="N33" s="153"/>
      <c r="P33" s="49"/>
      <c r="Q33" s="49"/>
    </row>
    <row r="34" spans="1:17" s="43" customFormat="1" ht="24" x14ac:dyDescent="0.2">
      <c r="A34" s="96">
        <v>1</v>
      </c>
      <c r="B34" s="96">
        <v>0</v>
      </c>
      <c r="C34" s="96">
        <v>1</v>
      </c>
      <c r="D34" s="96">
        <v>8</v>
      </c>
      <c r="E34" s="96"/>
      <c r="F34" s="31" t="s">
        <v>26</v>
      </c>
      <c r="G34" s="55">
        <f>+G35</f>
        <v>163051320</v>
      </c>
      <c r="H34" s="141"/>
      <c r="I34" s="40"/>
      <c r="J34" s="95">
        <v>0</v>
      </c>
      <c r="K34" s="95">
        <v>0</v>
      </c>
      <c r="L34" s="51"/>
      <c r="M34" s="95">
        <f t="shared" si="0"/>
        <v>163051320</v>
      </c>
      <c r="N34" s="152">
        <v>0</v>
      </c>
      <c r="P34" s="49"/>
      <c r="Q34" s="49"/>
    </row>
    <row r="35" spans="1:17" s="43" customFormat="1" x14ac:dyDescent="0.2">
      <c r="A35" s="96">
        <v>1</v>
      </c>
      <c r="B35" s="96">
        <v>0</v>
      </c>
      <c r="C35" s="96">
        <v>1</v>
      </c>
      <c r="D35" s="96">
        <v>8</v>
      </c>
      <c r="E35" s="96">
        <v>1</v>
      </c>
      <c r="F35" s="22" t="s">
        <v>21</v>
      </c>
      <c r="G35" s="283">
        <f>+CONSOLIDACION!M35</f>
        <v>163051320</v>
      </c>
      <c r="H35" s="139"/>
      <c r="I35" s="17"/>
      <c r="J35" s="57">
        <v>0</v>
      </c>
      <c r="K35" s="57">
        <v>0</v>
      </c>
      <c r="L35" s="49"/>
      <c r="M35" s="57">
        <f t="shared" si="0"/>
        <v>163051320</v>
      </c>
      <c r="N35" s="153">
        <v>0</v>
      </c>
      <c r="P35" s="49"/>
      <c r="Q35" s="49"/>
    </row>
    <row r="36" spans="1:17" s="43" customFormat="1" x14ac:dyDescent="0.2">
      <c r="A36" s="96"/>
      <c r="B36" s="96"/>
      <c r="C36" s="96"/>
      <c r="D36" s="96"/>
      <c r="E36" s="96"/>
      <c r="F36" s="22"/>
      <c r="G36" s="98"/>
      <c r="H36" s="140"/>
      <c r="I36" s="19"/>
      <c r="J36" s="61"/>
      <c r="K36" s="61"/>
      <c r="L36" s="49"/>
      <c r="M36" s="61"/>
      <c r="N36" s="153"/>
      <c r="P36" s="49"/>
      <c r="Q36" s="49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27</v>
      </c>
      <c r="G37" s="95">
        <f>+G38+G39</f>
        <v>55164032</v>
      </c>
      <c r="H37" s="140"/>
      <c r="I37" s="19"/>
      <c r="J37" s="95">
        <f>+CONSOLIDACION!O37</f>
        <v>53798283</v>
      </c>
      <c r="K37" s="95">
        <f>+CONSOLIDACION!P37</f>
        <v>53798283</v>
      </c>
      <c r="L37" s="49"/>
      <c r="M37" s="95">
        <f t="shared" si="0"/>
        <v>1365749</v>
      </c>
      <c r="N37" s="152">
        <f t="shared" si="1"/>
        <v>97.524203814543512</v>
      </c>
      <c r="P37" s="49"/>
      <c r="Q37" s="49"/>
    </row>
    <row r="38" spans="1:17" s="43" customFormat="1" x14ac:dyDescent="0.2">
      <c r="A38" s="96">
        <v>1</v>
      </c>
      <c r="B38" s="96">
        <v>0</v>
      </c>
      <c r="C38" s="96">
        <v>1</v>
      </c>
      <c r="D38" s="96">
        <v>9</v>
      </c>
      <c r="E38" s="96">
        <v>1</v>
      </c>
      <c r="F38" s="22" t="s">
        <v>58</v>
      </c>
      <c r="G38" s="100">
        <f>+CONSOLIDACION!M38</f>
        <v>15997954</v>
      </c>
      <c r="H38" s="139"/>
      <c r="I38" s="18"/>
      <c r="J38" s="100">
        <f>+CONSOLIDACION!O38</f>
        <v>14632205</v>
      </c>
      <c r="K38" s="100">
        <f>+CONSOLIDACION!P38</f>
        <v>14632205</v>
      </c>
      <c r="L38" s="49"/>
      <c r="M38" s="100">
        <f t="shared" si="0"/>
        <v>1365749</v>
      </c>
      <c r="N38" s="153">
        <f t="shared" si="1"/>
        <v>91.462977078193873</v>
      </c>
      <c r="P38" s="49"/>
      <c r="Q38" s="49"/>
    </row>
    <row r="39" spans="1:17" s="43" customFormat="1" x14ac:dyDescent="0.2">
      <c r="A39" s="96">
        <v>1</v>
      </c>
      <c r="B39" s="96">
        <v>0</v>
      </c>
      <c r="C39" s="96">
        <v>1</v>
      </c>
      <c r="D39" s="96">
        <v>9</v>
      </c>
      <c r="E39" s="96">
        <v>3</v>
      </c>
      <c r="F39" s="22" t="s">
        <v>59</v>
      </c>
      <c r="G39" s="100">
        <f>+CONSOLIDACION!M39</f>
        <v>39166078</v>
      </c>
      <c r="H39" s="140"/>
      <c r="I39" s="19"/>
      <c r="J39" s="100">
        <f>+CONSOLIDACION!O39</f>
        <v>39166078</v>
      </c>
      <c r="K39" s="100">
        <f>+CONSOLIDACION!P39</f>
        <v>39166078</v>
      </c>
      <c r="L39" s="49"/>
      <c r="M39" s="163">
        <f t="shared" si="0"/>
        <v>0</v>
      </c>
      <c r="N39" s="153">
        <v>0</v>
      </c>
      <c r="P39" s="49"/>
      <c r="Q39" s="49"/>
    </row>
    <row r="40" spans="1:17" s="43" customFormat="1" x14ac:dyDescent="0.2">
      <c r="A40" s="96"/>
      <c r="B40" s="96"/>
      <c r="C40" s="96"/>
      <c r="D40" s="96"/>
      <c r="E40" s="96"/>
      <c r="F40" s="22"/>
      <c r="G40" s="100"/>
      <c r="H40" s="140"/>
      <c r="I40" s="19"/>
      <c r="J40" s="100"/>
      <c r="K40" s="100"/>
      <c r="L40" s="49"/>
      <c r="M40" s="163"/>
      <c r="N40" s="153"/>
      <c r="P40" s="49"/>
      <c r="Q40" s="49"/>
    </row>
    <row r="41" spans="1:17" s="43" customFormat="1" x14ac:dyDescent="0.2">
      <c r="A41" s="33">
        <v>1</v>
      </c>
      <c r="B41" s="33">
        <v>0</v>
      </c>
      <c r="C41" s="33">
        <v>1</v>
      </c>
      <c r="D41" s="33">
        <v>999</v>
      </c>
      <c r="E41" s="33"/>
      <c r="F41" s="31" t="s">
        <v>90</v>
      </c>
      <c r="G41" s="36">
        <f>+CONSOLIDACION!M41</f>
        <v>21873530</v>
      </c>
      <c r="H41" s="140"/>
      <c r="I41" s="19"/>
      <c r="J41" s="36">
        <f>+CONSOLIDACION!O41</f>
        <v>21873530</v>
      </c>
      <c r="K41" s="36">
        <f>+CONSOLIDACION!P41</f>
        <v>21873530</v>
      </c>
      <c r="L41" s="49"/>
      <c r="M41" s="163">
        <f>+J41-K41</f>
        <v>0</v>
      </c>
      <c r="N41" s="152">
        <f t="shared" si="1"/>
        <v>100</v>
      </c>
      <c r="P41" s="49"/>
      <c r="Q41" s="49"/>
    </row>
    <row r="42" spans="1:17" s="43" customFormat="1" x14ac:dyDescent="0.2">
      <c r="A42" s="96"/>
      <c r="B42" s="96"/>
      <c r="C42" s="96"/>
      <c r="D42" s="96"/>
      <c r="E42" s="96"/>
      <c r="F42" s="22"/>
      <c r="G42" s="100"/>
      <c r="H42" s="140"/>
      <c r="I42" s="19"/>
      <c r="J42" s="100"/>
      <c r="K42" s="100"/>
      <c r="L42" s="49"/>
      <c r="M42" s="163"/>
      <c r="N42" s="153"/>
      <c r="P42" s="49"/>
      <c r="Q42" s="49"/>
    </row>
    <row r="43" spans="1:17" s="43" customFormat="1" x14ac:dyDescent="0.2">
      <c r="A43" s="96"/>
      <c r="B43" s="96"/>
      <c r="C43" s="96"/>
      <c r="D43" s="96"/>
      <c r="E43" s="96"/>
      <c r="F43" s="22"/>
      <c r="G43" s="100"/>
      <c r="H43" s="140"/>
      <c r="I43" s="19"/>
      <c r="J43" s="61"/>
      <c r="K43" s="61"/>
      <c r="L43" s="49"/>
      <c r="M43" s="61"/>
      <c r="N43" s="153"/>
      <c r="P43" s="49"/>
      <c r="Q43" s="49"/>
    </row>
    <row r="44" spans="1:17" s="43" customFormat="1" x14ac:dyDescent="0.2">
      <c r="A44" s="33">
        <v>1</v>
      </c>
      <c r="B44" s="33">
        <v>0</v>
      </c>
      <c r="C44" s="33">
        <v>2</v>
      </c>
      <c r="D44" s="33"/>
      <c r="E44" s="33"/>
      <c r="F44" s="31" t="s">
        <v>28</v>
      </c>
      <c r="G44" s="95">
        <f>+CONSOLIDACION!M44</f>
        <v>439389056</v>
      </c>
      <c r="H44" s="140"/>
      <c r="I44" s="19"/>
      <c r="J44" s="95">
        <f>+CONSOLIDACION!O44</f>
        <v>416555300</v>
      </c>
      <c r="K44" s="95">
        <f>+CONSOLIDACION!P44</f>
        <v>416555300</v>
      </c>
      <c r="L44" s="49"/>
      <c r="M44" s="95">
        <f t="shared" si="0"/>
        <v>22833756</v>
      </c>
      <c r="N44" s="152">
        <f t="shared" si="1"/>
        <v>94.803294326930171</v>
      </c>
      <c r="P44" s="49"/>
      <c r="Q44" s="49"/>
    </row>
    <row r="45" spans="1:17" s="42" customFormat="1" x14ac:dyDescent="0.2">
      <c r="A45" s="96">
        <v>1</v>
      </c>
      <c r="B45" s="96">
        <v>0</v>
      </c>
      <c r="C45" s="96">
        <v>2</v>
      </c>
      <c r="D45" s="96">
        <v>14</v>
      </c>
      <c r="E45" s="96"/>
      <c r="F45" s="22" t="s">
        <v>60</v>
      </c>
      <c r="G45" s="100">
        <f>+CONSOLIDACION!M45</f>
        <v>439389056</v>
      </c>
      <c r="H45" s="139"/>
      <c r="I45" s="17"/>
      <c r="J45" s="98">
        <f>+CONSOLIDACION!O45</f>
        <v>416555300</v>
      </c>
      <c r="K45" s="98">
        <f>+CONSOLIDACION!P45</f>
        <v>416555300</v>
      </c>
      <c r="L45" s="50"/>
      <c r="M45" s="100">
        <f t="shared" si="0"/>
        <v>22833756</v>
      </c>
      <c r="N45" s="153">
        <f t="shared" si="1"/>
        <v>94.803294326930171</v>
      </c>
      <c r="P45" s="49"/>
      <c r="Q45" s="49"/>
    </row>
    <row r="46" spans="1:17" s="43" customFormat="1" x14ac:dyDescent="0.2">
      <c r="A46" s="96"/>
      <c r="B46" s="96"/>
      <c r="C46" s="96"/>
      <c r="D46" s="96"/>
      <c r="E46" s="96"/>
      <c r="F46" s="22"/>
      <c r="G46" s="100"/>
      <c r="H46" s="140"/>
      <c r="I46" s="19"/>
      <c r="J46" s="61"/>
      <c r="K46" s="61"/>
      <c r="L46" s="49"/>
      <c r="M46" s="61"/>
      <c r="N46" s="153"/>
      <c r="P46" s="49"/>
      <c r="Q46" s="49"/>
    </row>
    <row r="47" spans="1:17" s="43" customFormat="1" ht="24" x14ac:dyDescent="0.2">
      <c r="A47" s="33">
        <v>1</v>
      </c>
      <c r="B47" s="33">
        <v>0</v>
      </c>
      <c r="C47" s="33">
        <v>5</v>
      </c>
      <c r="D47" s="33"/>
      <c r="E47" s="33"/>
      <c r="F47" s="31" t="s">
        <v>29</v>
      </c>
      <c r="G47" s="95">
        <f>+CONSOLIDACION!M47</f>
        <v>1176034043</v>
      </c>
      <c r="H47" s="140"/>
      <c r="I47" s="19"/>
      <c r="J47" s="95">
        <f>+CONSOLIDACION!O47</f>
        <v>1096300027</v>
      </c>
      <c r="K47" s="95">
        <f>+CONSOLIDACION!P47</f>
        <v>1096300027</v>
      </c>
      <c r="L47" s="49"/>
      <c r="M47" s="95">
        <f t="shared" si="0"/>
        <v>79734016</v>
      </c>
      <c r="N47" s="152">
        <f t="shared" si="1"/>
        <v>93.220092864267528</v>
      </c>
      <c r="P47" s="49"/>
      <c r="Q47" s="49"/>
    </row>
    <row r="48" spans="1:17" s="42" customFormat="1" x14ac:dyDescent="0.2">
      <c r="A48" s="33"/>
      <c r="B48" s="33"/>
      <c r="C48" s="33"/>
      <c r="D48" s="33"/>
      <c r="E48" s="33"/>
      <c r="F48" s="31"/>
      <c r="G48" s="283">
        <f>+CONSOLIDACION!M48</f>
        <v>0</v>
      </c>
      <c r="H48" s="139"/>
      <c r="I48" s="17"/>
      <c r="J48" s="57"/>
      <c r="K48" s="57"/>
      <c r="L48" s="50"/>
      <c r="M48" s="57"/>
      <c r="N48" s="153"/>
      <c r="P48" s="49"/>
      <c r="Q48" s="49"/>
    </row>
    <row r="49" spans="1:17" s="43" customFormat="1" x14ac:dyDescent="0.2">
      <c r="A49" s="96">
        <v>1</v>
      </c>
      <c r="B49" s="96">
        <v>0</v>
      </c>
      <c r="C49" s="96">
        <v>5</v>
      </c>
      <c r="D49" s="96">
        <v>1</v>
      </c>
      <c r="E49" s="96"/>
      <c r="F49" s="22" t="s">
        <v>30</v>
      </c>
      <c r="G49" s="97">
        <f>+CONSOLIDACION!M49</f>
        <v>550685736</v>
      </c>
      <c r="H49" s="139"/>
      <c r="I49" s="19"/>
      <c r="J49" s="97">
        <f>+CONSOLIDACION!O49</f>
        <v>514022000</v>
      </c>
      <c r="K49" s="97">
        <f>+CONSOLIDACION!P49</f>
        <v>514022000</v>
      </c>
      <c r="L49" s="51"/>
      <c r="M49" s="95">
        <f t="shared" si="0"/>
        <v>36663736</v>
      </c>
      <c r="N49" s="152">
        <f t="shared" si="1"/>
        <v>93.342167119433071</v>
      </c>
      <c r="P49" s="49"/>
      <c r="Q49" s="49"/>
    </row>
    <row r="50" spans="1:17" s="42" customFormat="1" x14ac:dyDescent="0.2">
      <c r="A50" s="33">
        <v>1</v>
      </c>
      <c r="B50" s="33">
        <v>0</v>
      </c>
      <c r="C50" s="33">
        <v>5</v>
      </c>
      <c r="D50" s="33">
        <v>2</v>
      </c>
      <c r="E50" s="33"/>
      <c r="F50" s="22" t="s">
        <v>31</v>
      </c>
      <c r="G50" s="97">
        <f>+CONSOLIDACION!M50</f>
        <v>476088942</v>
      </c>
      <c r="H50" s="139"/>
      <c r="I50" s="19"/>
      <c r="J50" s="97">
        <f>+CONSOLIDACION!O50</f>
        <v>434156027</v>
      </c>
      <c r="K50" s="97">
        <f>+CONSOLIDACION!P50</f>
        <v>434156027</v>
      </c>
      <c r="L50" s="50"/>
      <c r="M50" s="61">
        <f t="shared" si="0"/>
        <v>41932915</v>
      </c>
      <c r="N50" s="153">
        <f t="shared" si="1"/>
        <v>91.19220983712745</v>
      </c>
      <c r="P50" s="49"/>
      <c r="Q50" s="49"/>
    </row>
    <row r="51" spans="1:17" s="42" customFormat="1" x14ac:dyDescent="0.2">
      <c r="A51" s="33">
        <v>1</v>
      </c>
      <c r="B51" s="33">
        <v>0</v>
      </c>
      <c r="C51" s="33">
        <v>5</v>
      </c>
      <c r="D51" s="33">
        <v>6</v>
      </c>
      <c r="E51" s="71"/>
      <c r="F51" s="22" t="s">
        <v>61</v>
      </c>
      <c r="G51" s="97">
        <f>+CONSOLIDACION!M51</f>
        <v>89282330</v>
      </c>
      <c r="H51" s="139"/>
      <c r="I51" s="19"/>
      <c r="J51" s="97">
        <f>+CONSOLIDACION!O51</f>
        <v>88870600</v>
      </c>
      <c r="K51" s="97">
        <f>+CONSOLIDACION!P51</f>
        <v>88870600</v>
      </c>
      <c r="L51" s="50"/>
      <c r="M51" s="61">
        <f t="shared" si="0"/>
        <v>411730</v>
      </c>
      <c r="N51" s="153">
        <f t="shared" si="1"/>
        <v>99.538844920377869</v>
      </c>
      <c r="P51" s="49"/>
      <c r="Q51" s="49"/>
    </row>
    <row r="52" spans="1:17" s="43" customFormat="1" x14ac:dyDescent="0.2">
      <c r="A52" s="33">
        <v>1</v>
      </c>
      <c r="B52" s="33">
        <v>0</v>
      </c>
      <c r="C52" s="33">
        <v>5</v>
      </c>
      <c r="D52" s="33">
        <v>7</v>
      </c>
      <c r="E52" s="71"/>
      <c r="F52" s="22" t="s">
        <v>62</v>
      </c>
      <c r="G52" s="97">
        <f>+CONSOLIDACION!M52</f>
        <v>59977035</v>
      </c>
      <c r="H52" s="140"/>
      <c r="I52" s="19"/>
      <c r="J52" s="97">
        <f>+CONSOLIDACION!O52</f>
        <v>59251400</v>
      </c>
      <c r="K52" s="97">
        <f>+CONSOLIDACION!P52</f>
        <v>59251400</v>
      </c>
      <c r="L52" s="49"/>
      <c r="M52" s="61">
        <f t="shared" si="0"/>
        <v>725635</v>
      </c>
      <c r="N52" s="153">
        <f t="shared" si="1"/>
        <v>98.790145261432144</v>
      </c>
      <c r="P52" s="49"/>
      <c r="Q52" s="49"/>
    </row>
    <row r="53" spans="1:17" s="43" customFormat="1" x14ac:dyDescent="0.2">
      <c r="A53" s="71"/>
      <c r="B53" s="71"/>
      <c r="C53" s="71"/>
      <c r="D53" s="71"/>
      <c r="E53" s="71"/>
      <c r="F53" s="71"/>
      <c r="G53" s="98"/>
      <c r="H53" s="140"/>
      <c r="I53" s="19"/>
      <c r="J53" s="61"/>
      <c r="K53" s="61"/>
      <c r="L53" s="49"/>
      <c r="M53" s="61"/>
      <c r="N53" s="153"/>
      <c r="P53" s="49"/>
      <c r="Q53" s="49"/>
    </row>
    <row r="54" spans="1:17" s="43" customFormat="1" x14ac:dyDescent="0.2">
      <c r="A54" s="33">
        <v>2</v>
      </c>
      <c r="B54" s="33">
        <v>0</v>
      </c>
      <c r="C54" s="33"/>
      <c r="D54" s="33"/>
      <c r="E54" s="33"/>
      <c r="F54" s="31" t="s">
        <v>32</v>
      </c>
      <c r="G54" s="57">
        <f>+CONSOLIDACION!M54</f>
        <v>2121198464</v>
      </c>
      <c r="H54" s="140"/>
      <c r="I54" s="17"/>
      <c r="J54" s="57">
        <f>+CONSOLIDACION!O54</f>
        <v>1873022480</v>
      </c>
      <c r="K54" s="57">
        <f>+CONSOLIDACION!P54</f>
        <v>1873022480</v>
      </c>
      <c r="L54" s="49"/>
      <c r="M54" s="57">
        <f t="shared" si="0"/>
        <v>248175984</v>
      </c>
      <c r="N54" s="152">
        <f t="shared" si="1"/>
        <v>88.300199712005821</v>
      </c>
      <c r="O54" s="49"/>
      <c r="P54" s="49"/>
      <c r="Q54" s="49"/>
    </row>
    <row r="55" spans="1:17" s="42" customFormat="1" x14ac:dyDescent="0.2">
      <c r="A55" s="33"/>
      <c r="B55" s="33"/>
      <c r="C55" s="33"/>
      <c r="D55" s="33"/>
      <c r="E55" s="33"/>
      <c r="F55" s="31"/>
      <c r="G55" s="34"/>
      <c r="H55" s="139"/>
      <c r="I55" s="17"/>
      <c r="J55" s="57"/>
      <c r="K55" s="57"/>
      <c r="L55" s="50"/>
      <c r="M55" s="57"/>
      <c r="N55" s="153"/>
      <c r="P55" s="49"/>
      <c r="Q55" s="49"/>
    </row>
    <row r="56" spans="1:17" s="43" customFormat="1" x14ac:dyDescent="0.2">
      <c r="A56" s="33">
        <v>2</v>
      </c>
      <c r="B56" s="33">
        <v>0</v>
      </c>
      <c r="C56" s="33">
        <v>3</v>
      </c>
      <c r="D56" s="33"/>
      <c r="E56" s="33"/>
      <c r="F56" s="31" t="s">
        <v>33</v>
      </c>
      <c r="G56" s="57">
        <f>+CONSOLIDACION!M56</f>
        <v>38367000</v>
      </c>
      <c r="H56" s="139"/>
      <c r="I56" s="17"/>
      <c r="J56" s="57">
        <f>+CONSOLIDACION!O56</f>
        <v>36372000</v>
      </c>
      <c r="K56" s="57">
        <f>+CONSOLIDACION!P56</f>
        <v>36372000</v>
      </c>
      <c r="L56" s="49"/>
      <c r="M56" s="57">
        <f t="shared" si="0"/>
        <v>1995000</v>
      </c>
      <c r="N56" s="152">
        <f t="shared" si="1"/>
        <v>94.800218938149968</v>
      </c>
      <c r="P56" s="49"/>
      <c r="Q56" s="49"/>
    </row>
    <row r="57" spans="1:17" s="42" customFormat="1" x14ac:dyDescent="0.2">
      <c r="A57" s="96">
        <v>2</v>
      </c>
      <c r="B57" s="96">
        <v>0</v>
      </c>
      <c r="C57" s="96">
        <v>3</v>
      </c>
      <c r="D57" s="96">
        <v>50</v>
      </c>
      <c r="E57" s="96"/>
      <c r="F57" s="22" t="s">
        <v>63</v>
      </c>
      <c r="G57" s="100">
        <f>+CONSOLIDACION!M57</f>
        <v>38367000</v>
      </c>
      <c r="H57" s="139"/>
      <c r="I57" s="17"/>
      <c r="J57" s="100">
        <f>+CONSOLIDACION!O57</f>
        <v>36372000</v>
      </c>
      <c r="K57" s="100">
        <f>+CONSOLIDACION!P57</f>
        <v>36372000</v>
      </c>
      <c r="L57" s="54"/>
      <c r="M57" s="163">
        <f t="shared" si="0"/>
        <v>1995000</v>
      </c>
      <c r="N57" s="153">
        <f t="shared" si="1"/>
        <v>94.800218938149968</v>
      </c>
      <c r="P57" s="49"/>
      <c r="Q57" s="49"/>
    </row>
    <row r="58" spans="1:17" s="43" customFormat="1" x14ac:dyDescent="0.2">
      <c r="A58" s="96"/>
      <c r="B58" s="96"/>
      <c r="C58" s="96"/>
      <c r="D58" s="96"/>
      <c r="E58" s="96"/>
      <c r="F58" s="22"/>
      <c r="G58" s="61"/>
      <c r="H58" s="140"/>
      <c r="I58" s="19"/>
      <c r="J58" s="61"/>
      <c r="K58" s="61"/>
      <c r="L58" s="49"/>
      <c r="M58" s="61"/>
      <c r="N58" s="153"/>
      <c r="P58" s="49"/>
      <c r="Q58" s="49"/>
    </row>
    <row r="59" spans="1:17" s="43" customFormat="1" x14ac:dyDescent="0.2">
      <c r="A59" s="33">
        <v>2</v>
      </c>
      <c r="B59" s="33">
        <v>0</v>
      </c>
      <c r="C59" s="33">
        <v>4</v>
      </c>
      <c r="D59" s="33"/>
      <c r="E59" s="33"/>
      <c r="F59" s="31" t="s">
        <v>34</v>
      </c>
      <c r="G59" s="36">
        <f>+CONSOLIDACION!M59</f>
        <v>2082831464</v>
      </c>
      <c r="H59" s="140"/>
      <c r="I59" s="21"/>
      <c r="J59" s="36">
        <f>+CONSOLIDACION!O59</f>
        <v>1836650480</v>
      </c>
      <c r="K59" s="36">
        <f>+CONSOLIDACION!P59</f>
        <v>1836650480</v>
      </c>
      <c r="L59" s="49"/>
      <c r="M59" s="36">
        <f t="shared" si="0"/>
        <v>246180984</v>
      </c>
      <c r="N59" s="152">
        <f t="shared" si="1"/>
        <v>88.180465474281888</v>
      </c>
      <c r="P59" s="49"/>
      <c r="Q59" s="49"/>
    </row>
    <row r="60" spans="1:17" s="42" customFormat="1" x14ac:dyDescent="0.2">
      <c r="A60" s="33"/>
      <c r="B60" s="33"/>
      <c r="C60" s="33"/>
      <c r="D60" s="33"/>
      <c r="E60" s="33"/>
      <c r="F60" s="31"/>
      <c r="G60" s="157"/>
      <c r="H60" s="139"/>
      <c r="I60" s="17"/>
      <c r="J60" s="157"/>
      <c r="K60" s="157"/>
      <c r="L60" s="50"/>
      <c r="M60" s="157"/>
      <c r="N60" s="153"/>
      <c r="P60" s="49"/>
      <c r="Q60" s="49"/>
    </row>
    <row r="61" spans="1:17" s="43" customFormat="1" ht="15" customHeight="1" x14ac:dyDescent="0.2">
      <c r="A61" s="96">
        <v>2</v>
      </c>
      <c r="B61" s="96">
        <v>0</v>
      </c>
      <c r="C61" s="96">
        <v>4</v>
      </c>
      <c r="D61" s="96">
        <v>1</v>
      </c>
      <c r="E61" s="33"/>
      <c r="F61" s="22" t="s">
        <v>80</v>
      </c>
      <c r="G61" s="61">
        <f>+CONSOLIDACION!M61</f>
        <v>18540000</v>
      </c>
      <c r="H61" s="142"/>
      <c r="I61" s="19"/>
      <c r="J61" s="61">
        <f>+CONSOLIDACION!O61</f>
        <v>12278562</v>
      </c>
      <c r="K61" s="61">
        <f>+CONSOLIDACION!P61</f>
        <v>12278562</v>
      </c>
      <c r="L61" s="49"/>
      <c r="M61" s="61">
        <f t="shared" si="0"/>
        <v>6261438</v>
      </c>
      <c r="N61" s="153">
        <f t="shared" si="1"/>
        <v>66.227411003236242</v>
      </c>
      <c r="P61" s="49"/>
      <c r="Q61" s="49"/>
    </row>
    <row r="62" spans="1:17" s="43" customFormat="1" ht="15" customHeight="1" x14ac:dyDescent="0.2">
      <c r="A62" s="96">
        <v>2</v>
      </c>
      <c r="B62" s="96">
        <v>0</v>
      </c>
      <c r="C62" s="96">
        <v>4</v>
      </c>
      <c r="D62" s="96">
        <v>2</v>
      </c>
      <c r="E62" s="33"/>
      <c r="F62" s="22" t="s">
        <v>82</v>
      </c>
      <c r="G62" s="61">
        <f>+CONSOLIDACION!M62</f>
        <v>20900000</v>
      </c>
      <c r="H62" s="142"/>
      <c r="I62" s="19"/>
      <c r="J62" s="61">
        <f>+CONSOLIDACION!O62</f>
        <v>7449760</v>
      </c>
      <c r="K62" s="61">
        <f>+CONSOLIDACION!P62</f>
        <v>7449760</v>
      </c>
      <c r="L62" s="49"/>
      <c r="M62" s="61">
        <f t="shared" si="0"/>
        <v>13450240</v>
      </c>
      <c r="N62" s="153">
        <f t="shared" si="1"/>
        <v>35.644784688995216</v>
      </c>
      <c r="P62" s="49"/>
      <c r="Q62" s="49"/>
    </row>
    <row r="63" spans="1:17" s="42" customFormat="1" ht="15" customHeight="1" x14ac:dyDescent="0.2">
      <c r="A63" s="96">
        <v>2</v>
      </c>
      <c r="B63" s="96">
        <v>0</v>
      </c>
      <c r="C63" s="96">
        <v>4</v>
      </c>
      <c r="D63" s="96">
        <v>4</v>
      </c>
      <c r="E63" s="33"/>
      <c r="F63" s="22" t="s">
        <v>35</v>
      </c>
      <c r="G63" s="61">
        <f>+CONSOLIDACION!M63</f>
        <v>83046637</v>
      </c>
      <c r="H63" s="142"/>
      <c r="I63" s="19"/>
      <c r="J63" s="61">
        <f>+CONSOLIDACION!O63</f>
        <v>66698675</v>
      </c>
      <c r="K63" s="61">
        <f>+CONSOLIDACION!P63</f>
        <v>66698675</v>
      </c>
      <c r="L63" s="50"/>
      <c r="M63" s="163">
        <f t="shared" si="0"/>
        <v>16347962</v>
      </c>
      <c r="N63" s="153">
        <f t="shared" si="1"/>
        <v>80.314721233082565</v>
      </c>
      <c r="P63" s="49"/>
      <c r="Q63" s="49"/>
    </row>
    <row r="64" spans="1:17" s="42" customFormat="1" ht="15" customHeight="1" x14ac:dyDescent="0.2">
      <c r="A64" s="96">
        <v>2</v>
      </c>
      <c r="B64" s="96">
        <v>0</v>
      </c>
      <c r="C64" s="96">
        <v>4</v>
      </c>
      <c r="D64" s="96">
        <v>5</v>
      </c>
      <c r="E64" s="33"/>
      <c r="F64" s="22" t="s">
        <v>36</v>
      </c>
      <c r="G64" s="61">
        <f>+CONSOLIDACION!M64</f>
        <v>747429300</v>
      </c>
      <c r="H64" s="142"/>
      <c r="I64" s="19"/>
      <c r="J64" s="61">
        <f>+CONSOLIDACION!O64</f>
        <v>665479304</v>
      </c>
      <c r="K64" s="61">
        <f>+CONSOLIDACION!P64</f>
        <v>665479304</v>
      </c>
      <c r="L64" s="50"/>
      <c r="M64" s="61">
        <f t="shared" si="0"/>
        <v>81949996</v>
      </c>
      <c r="N64" s="153">
        <f t="shared" si="1"/>
        <v>89.035752813008543</v>
      </c>
      <c r="P64" s="49"/>
      <c r="Q64" s="49"/>
    </row>
    <row r="65" spans="1:17" s="42" customFormat="1" ht="15" customHeight="1" x14ac:dyDescent="0.2">
      <c r="A65" s="96">
        <v>2</v>
      </c>
      <c r="B65" s="96">
        <v>0</v>
      </c>
      <c r="C65" s="96">
        <v>4</v>
      </c>
      <c r="D65" s="96">
        <v>6</v>
      </c>
      <c r="E65" s="33"/>
      <c r="F65" s="22" t="s">
        <v>37</v>
      </c>
      <c r="G65" s="61">
        <f>+CONSOLIDACION!M65</f>
        <v>171513951</v>
      </c>
      <c r="H65" s="142"/>
      <c r="I65" s="19"/>
      <c r="J65" s="61">
        <f>+CONSOLIDACION!O65</f>
        <v>138256505</v>
      </c>
      <c r="K65" s="61">
        <f>+CONSOLIDACION!P65</f>
        <v>138256505</v>
      </c>
      <c r="L65" s="50"/>
      <c r="M65" s="61">
        <f t="shared" si="0"/>
        <v>33257446</v>
      </c>
      <c r="N65" s="153">
        <f t="shared" si="1"/>
        <v>80.609480566394282</v>
      </c>
      <c r="P65" s="49"/>
      <c r="Q65" s="49"/>
    </row>
    <row r="66" spans="1:17" s="42" customFormat="1" ht="15" customHeight="1" x14ac:dyDescent="0.2">
      <c r="A66" s="96">
        <v>2</v>
      </c>
      <c r="B66" s="96">
        <v>0</v>
      </c>
      <c r="C66" s="96">
        <v>4</v>
      </c>
      <c r="D66" s="96">
        <v>7</v>
      </c>
      <c r="E66" s="33"/>
      <c r="F66" s="22" t="s">
        <v>38</v>
      </c>
      <c r="G66" s="61">
        <f>+CONSOLIDACION!M66</f>
        <v>10758700</v>
      </c>
      <c r="H66" s="142"/>
      <c r="I66" s="19"/>
      <c r="J66" s="61">
        <f>+CONSOLIDACION!O66</f>
        <v>10226700</v>
      </c>
      <c r="K66" s="61">
        <f>+CONSOLIDACION!P66</f>
        <v>10226700</v>
      </c>
      <c r="L66" s="50"/>
      <c r="M66" s="61">
        <f t="shared" si="0"/>
        <v>532000</v>
      </c>
      <c r="N66" s="153">
        <f t="shared" si="1"/>
        <v>95.055164657440031</v>
      </c>
      <c r="P66" s="49"/>
      <c r="Q66" s="49"/>
    </row>
    <row r="67" spans="1:17" s="42" customFormat="1" ht="15" customHeight="1" x14ac:dyDescent="0.2">
      <c r="A67" s="96">
        <v>2</v>
      </c>
      <c r="B67" s="96">
        <v>0</v>
      </c>
      <c r="C67" s="96">
        <v>4</v>
      </c>
      <c r="D67" s="96">
        <v>8</v>
      </c>
      <c r="E67" s="33"/>
      <c r="F67" s="22" t="s">
        <v>39</v>
      </c>
      <c r="G67" s="61">
        <f>+CONSOLIDACION!M67</f>
        <v>288168309</v>
      </c>
      <c r="H67" s="142"/>
      <c r="I67" s="19"/>
      <c r="J67" s="61">
        <f>+CONSOLIDACION!O67</f>
        <v>259388436</v>
      </c>
      <c r="K67" s="61">
        <f>+CONSOLIDACION!P67</f>
        <v>259388436</v>
      </c>
      <c r="L67" s="50"/>
      <c r="M67" s="61">
        <f t="shared" si="0"/>
        <v>28779873</v>
      </c>
      <c r="N67" s="153">
        <f t="shared" si="1"/>
        <v>90.012825109092759</v>
      </c>
      <c r="P67" s="49"/>
      <c r="Q67" s="49"/>
    </row>
    <row r="68" spans="1:17" s="42" customFormat="1" ht="15" customHeight="1" x14ac:dyDescent="0.2">
      <c r="A68" s="96">
        <v>2</v>
      </c>
      <c r="B68" s="96">
        <v>0</v>
      </c>
      <c r="C68" s="96">
        <v>4</v>
      </c>
      <c r="D68" s="96">
        <v>9</v>
      </c>
      <c r="E68" s="33"/>
      <c r="F68" s="22" t="s">
        <v>40</v>
      </c>
      <c r="G68" s="61">
        <f>+CONSOLIDACION!M68</f>
        <v>41400000</v>
      </c>
      <c r="H68" s="142"/>
      <c r="I68" s="19"/>
      <c r="J68" s="61">
        <f>+CONSOLIDACION!O68</f>
        <v>41379063</v>
      </c>
      <c r="K68" s="61">
        <f>+CONSOLIDACION!P68</f>
        <v>41379063</v>
      </c>
      <c r="L68" s="50"/>
      <c r="M68" s="61">
        <f t="shared" si="0"/>
        <v>20937</v>
      </c>
      <c r="N68" s="153">
        <f t="shared" si="1"/>
        <v>99.94942753623188</v>
      </c>
      <c r="P68" s="49"/>
      <c r="Q68" s="49"/>
    </row>
    <row r="69" spans="1:17" s="42" customFormat="1" ht="15" customHeight="1" x14ac:dyDescent="0.2">
      <c r="A69" s="96">
        <v>2</v>
      </c>
      <c r="B69" s="96">
        <v>0</v>
      </c>
      <c r="C69" s="96">
        <v>4</v>
      </c>
      <c r="D69" s="96">
        <v>11</v>
      </c>
      <c r="E69" s="33"/>
      <c r="F69" s="22" t="s">
        <v>41</v>
      </c>
      <c r="G69" s="61">
        <f>+CONSOLIDACION!M69</f>
        <v>291600000</v>
      </c>
      <c r="H69" s="142"/>
      <c r="I69" s="19"/>
      <c r="J69" s="61">
        <f>+CONSOLIDACION!O69</f>
        <v>267635999</v>
      </c>
      <c r="K69" s="61">
        <f>+CONSOLIDACION!P69</f>
        <v>267635999</v>
      </c>
      <c r="L69" s="50"/>
      <c r="M69" s="61">
        <f t="shared" si="0"/>
        <v>23964001</v>
      </c>
      <c r="N69" s="153">
        <f t="shared" si="1"/>
        <v>91.781892661179697</v>
      </c>
      <c r="P69" s="49"/>
      <c r="Q69" s="49"/>
    </row>
    <row r="70" spans="1:17" s="44" customFormat="1" ht="15" customHeight="1" x14ac:dyDescent="0.2">
      <c r="A70" s="96">
        <v>2</v>
      </c>
      <c r="B70" s="96">
        <v>0</v>
      </c>
      <c r="C70" s="96">
        <v>4</v>
      </c>
      <c r="D70" s="96">
        <v>13</v>
      </c>
      <c r="E70" s="96"/>
      <c r="F70" s="22" t="s">
        <v>42</v>
      </c>
      <c r="G70" s="61">
        <f>+CONSOLIDACION!M70</f>
        <v>46350000</v>
      </c>
      <c r="H70" s="142"/>
      <c r="I70" s="19"/>
      <c r="J70" s="61">
        <f>+CONSOLIDACION!O70</f>
        <v>28305111</v>
      </c>
      <c r="K70" s="61">
        <f>+CONSOLIDACION!P70</f>
        <v>28305111</v>
      </c>
      <c r="L70" s="51"/>
      <c r="M70" s="61">
        <f t="shared" si="0"/>
        <v>18044889</v>
      </c>
      <c r="N70" s="153">
        <f t="shared" si="1"/>
        <v>61.068200647249192</v>
      </c>
      <c r="P70" s="49"/>
      <c r="Q70" s="49"/>
    </row>
    <row r="71" spans="1:17" s="42" customFormat="1" ht="15" customHeight="1" x14ac:dyDescent="0.2">
      <c r="A71" s="96">
        <v>2</v>
      </c>
      <c r="B71" s="96">
        <v>0</v>
      </c>
      <c r="C71" s="96">
        <v>4</v>
      </c>
      <c r="D71" s="96">
        <v>21</v>
      </c>
      <c r="E71" s="33"/>
      <c r="F71" s="101" t="s">
        <v>64</v>
      </c>
      <c r="G71" s="61">
        <f>+CONSOLIDACION!M71</f>
        <v>143000000</v>
      </c>
      <c r="H71" s="142"/>
      <c r="I71" s="19"/>
      <c r="J71" s="61">
        <f>+CONSOLIDACION!O71</f>
        <v>138832233</v>
      </c>
      <c r="K71" s="61">
        <f>+CONSOLIDACION!P71</f>
        <v>138832233</v>
      </c>
      <c r="L71" s="50"/>
      <c r="M71" s="163">
        <f t="shared" si="0"/>
        <v>4167767</v>
      </c>
      <c r="N71" s="153">
        <f t="shared" si="1"/>
        <v>97.085477622377624</v>
      </c>
      <c r="P71" s="49"/>
      <c r="Q71" s="49"/>
    </row>
    <row r="72" spans="1:17" s="43" customFormat="1" ht="15" customHeight="1" x14ac:dyDescent="0.2">
      <c r="A72" s="96">
        <v>2</v>
      </c>
      <c r="B72" s="96">
        <v>0</v>
      </c>
      <c r="C72" s="96">
        <v>4</v>
      </c>
      <c r="D72" s="96">
        <v>40</v>
      </c>
      <c r="E72" s="33"/>
      <c r="F72" s="22" t="s">
        <v>44</v>
      </c>
      <c r="G72" s="61">
        <f>+CONSOLIDACION!M72</f>
        <v>4000000</v>
      </c>
      <c r="H72" s="142"/>
      <c r="I72" s="19"/>
      <c r="J72" s="61">
        <f>+CONSOLIDACION!O72</f>
        <v>1114760</v>
      </c>
      <c r="K72" s="61">
        <f>+CONSOLIDACION!P72</f>
        <v>1114760</v>
      </c>
      <c r="L72" s="49"/>
      <c r="M72" s="61">
        <f t="shared" si="0"/>
        <v>2885240</v>
      </c>
      <c r="N72" s="153">
        <f t="shared" si="1"/>
        <v>27.869</v>
      </c>
      <c r="P72" s="49"/>
      <c r="Q72" s="49"/>
    </row>
    <row r="73" spans="1:17" s="43" customFormat="1" ht="15" customHeight="1" x14ac:dyDescent="0.2">
      <c r="A73" s="96">
        <v>2</v>
      </c>
      <c r="B73" s="96">
        <v>0</v>
      </c>
      <c r="C73" s="96">
        <v>4</v>
      </c>
      <c r="D73" s="96">
        <v>41</v>
      </c>
      <c r="E73" s="33"/>
      <c r="F73" s="22" t="s">
        <v>45</v>
      </c>
      <c r="G73" s="61">
        <f>+CONSOLIDACION!M73</f>
        <v>216124567</v>
      </c>
      <c r="H73" s="142"/>
      <c r="I73" s="19"/>
      <c r="J73" s="61">
        <f>+CONSOLIDACION!O73</f>
        <v>199605372</v>
      </c>
      <c r="K73" s="61">
        <f>+CONSOLIDACION!P73</f>
        <v>199605372</v>
      </c>
      <c r="L73" s="49"/>
      <c r="M73" s="61">
        <f t="shared" si="0"/>
        <v>16519195</v>
      </c>
      <c r="N73" s="153">
        <f t="shared" si="1"/>
        <v>92.356632460020151</v>
      </c>
      <c r="P73" s="49"/>
      <c r="Q73" s="49"/>
    </row>
    <row r="74" spans="1:17" s="42" customFormat="1" ht="15" customHeight="1" x14ac:dyDescent="0.2">
      <c r="A74" s="96"/>
      <c r="B74" s="96"/>
      <c r="C74" s="96"/>
      <c r="D74" s="96"/>
      <c r="E74" s="33"/>
      <c r="F74" s="22"/>
      <c r="G74" s="61"/>
      <c r="H74" s="142"/>
      <c r="I74" s="19"/>
      <c r="J74" s="61"/>
      <c r="K74" s="61"/>
      <c r="L74" s="50"/>
      <c r="M74" s="61"/>
      <c r="N74" s="153"/>
      <c r="P74" s="49"/>
      <c r="Q74" s="49"/>
    </row>
    <row r="75" spans="1:17" s="42" customFormat="1" ht="15" customHeight="1" x14ac:dyDescent="0.2">
      <c r="A75" s="65">
        <v>3</v>
      </c>
      <c r="B75" s="41"/>
      <c r="C75" s="41"/>
      <c r="D75" s="41"/>
      <c r="E75" s="41"/>
      <c r="F75" s="66" t="s">
        <v>73</v>
      </c>
      <c r="G75" s="194">
        <f>+CONSOLIDACION!M75</f>
        <v>234285849</v>
      </c>
      <c r="H75" s="142"/>
      <c r="I75" s="19"/>
      <c r="J75" s="194">
        <f>+CONSOLIDACION!O75</f>
        <v>16708899</v>
      </c>
      <c r="K75" s="194">
        <f>+CONSOLIDACION!P75</f>
        <v>16708899</v>
      </c>
      <c r="L75" s="50"/>
      <c r="M75" s="194">
        <f t="shared" si="0"/>
        <v>217576950</v>
      </c>
      <c r="N75" s="152">
        <f>(+K75/G75)*100</f>
        <v>7.1318430333365974</v>
      </c>
      <c r="O75" s="50"/>
      <c r="P75" s="49"/>
      <c r="Q75" s="49"/>
    </row>
    <row r="76" spans="1:17" s="43" customFormat="1" ht="15" customHeight="1" x14ac:dyDescent="0.2">
      <c r="A76" s="22">
        <v>3</v>
      </c>
      <c r="B76" s="22">
        <v>2</v>
      </c>
      <c r="C76" s="22">
        <v>1</v>
      </c>
      <c r="D76" s="22">
        <v>1</v>
      </c>
      <c r="E76" s="22">
        <v>20</v>
      </c>
      <c r="F76" s="22" t="s">
        <v>74</v>
      </c>
      <c r="G76" s="195">
        <f>+CONSOLIDACION!M76</f>
        <v>20455849</v>
      </c>
      <c r="H76" s="142"/>
      <c r="I76" s="19"/>
      <c r="J76" s="195">
        <f>+CONSOLIDACION!O76</f>
        <v>16708899</v>
      </c>
      <c r="K76" s="195">
        <f>+CONSOLIDACION!P76</f>
        <v>16708899</v>
      </c>
      <c r="L76" s="49"/>
      <c r="M76" s="195">
        <f t="shared" si="0"/>
        <v>3746950</v>
      </c>
      <c r="N76" s="153">
        <f t="shared" si="1"/>
        <v>81.682745116079019</v>
      </c>
      <c r="P76" s="49"/>
      <c r="Q76" s="49"/>
    </row>
    <row r="77" spans="1:17" s="43" customFormat="1" ht="15" customHeight="1" x14ac:dyDescent="0.2">
      <c r="A77" s="22"/>
      <c r="B77" s="22"/>
      <c r="C77" s="22"/>
      <c r="D77" s="22"/>
      <c r="E77" s="22"/>
      <c r="F77" s="22"/>
      <c r="G77" s="195"/>
      <c r="H77" s="142"/>
      <c r="I77" s="19"/>
      <c r="J77" s="195"/>
      <c r="K77" s="195"/>
      <c r="L77" s="49"/>
      <c r="M77" s="195">
        <v>0</v>
      </c>
      <c r="N77" s="153"/>
      <c r="P77" s="49"/>
      <c r="Q77" s="49"/>
    </row>
    <row r="78" spans="1:17" s="44" customFormat="1" ht="15" customHeight="1" x14ac:dyDescent="0.2">
      <c r="A78" s="22">
        <v>3</v>
      </c>
      <c r="B78" s="22">
        <v>6</v>
      </c>
      <c r="C78" s="22">
        <v>1</v>
      </c>
      <c r="D78" s="22">
        <v>1</v>
      </c>
      <c r="E78" s="22">
        <v>20</v>
      </c>
      <c r="F78" s="22" t="s">
        <v>75</v>
      </c>
      <c r="G78" s="282">
        <f>+CONSOLIDACION!M78</f>
        <v>213830000</v>
      </c>
      <c r="H78" s="141"/>
      <c r="I78" s="23"/>
      <c r="J78" s="282">
        <f>+CONSOLIDACION!O78</f>
        <v>0</v>
      </c>
      <c r="K78" s="282">
        <f>+CONSOLIDACION!P78</f>
        <v>0</v>
      </c>
      <c r="L78" s="144"/>
      <c r="M78" s="195">
        <f t="shared" si="0"/>
        <v>213830000</v>
      </c>
      <c r="N78" s="153">
        <f t="shared" si="1"/>
        <v>0</v>
      </c>
      <c r="P78" s="49"/>
      <c r="Q78" s="49"/>
    </row>
    <row r="79" spans="1:17" s="42" customFormat="1" ht="15" customHeight="1" x14ac:dyDescent="0.2">
      <c r="A79" s="96"/>
      <c r="B79" s="96"/>
      <c r="C79" s="96"/>
      <c r="D79" s="96"/>
      <c r="E79" s="33"/>
      <c r="F79" s="101"/>
      <c r="G79" s="100"/>
      <c r="H79" s="142"/>
      <c r="I79" s="20"/>
      <c r="J79" s="100"/>
      <c r="K79" s="100"/>
      <c r="L79" s="64"/>
      <c r="M79" s="100"/>
      <c r="N79" s="153"/>
      <c r="P79" s="49"/>
      <c r="Q79" s="49"/>
    </row>
    <row r="80" spans="1:17" s="42" customFormat="1" ht="15" customHeight="1" x14ac:dyDescent="0.2">
      <c r="A80" s="96"/>
      <c r="B80" s="96"/>
      <c r="C80" s="96"/>
      <c r="D80" s="96"/>
      <c r="E80" s="96"/>
      <c r="F80" s="101"/>
      <c r="G80" s="36"/>
      <c r="H80" s="142"/>
      <c r="I80" s="20"/>
      <c r="J80" s="36"/>
      <c r="K80" s="36"/>
      <c r="L80" s="144"/>
      <c r="M80" s="36"/>
      <c r="N80" s="152"/>
      <c r="P80" s="49"/>
      <c r="Q80" s="49"/>
    </row>
    <row r="81" spans="1:17" s="42" customFormat="1" ht="15" customHeight="1" x14ac:dyDescent="0.2">
      <c r="A81" s="219"/>
      <c r="B81" s="219"/>
      <c r="C81" s="219"/>
      <c r="D81" s="219"/>
      <c r="E81" s="219"/>
      <c r="F81" s="222" t="s">
        <v>76</v>
      </c>
      <c r="G81" s="36">
        <f>SUM(G82:G86)</f>
        <v>4041000000</v>
      </c>
      <c r="H81" s="142"/>
      <c r="I81" s="20"/>
      <c r="J81" s="36">
        <f>SUM(J82:J86)</f>
        <v>3647032681</v>
      </c>
      <c r="K81" s="36">
        <f>SUM(K82:K86)</f>
        <v>3647032681</v>
      </c>
      <c r="L81" s="144"/>
      <c r="M81" s="36">
        <f>SUM(M82:M86)</f>
        <v>393967319</v>
      </c>
      <c r="N81" s="152">
        <f t="shared" si="1"/>
        <v>90.250746869586735</v>
      </c>
      <c r="P81" s="49"/>
      <c r="Q81" s="49"/>
    </row>
    <row r="82" spans="1:17" s="42" customFormat="1" ht="33.75" customHeight="1" x14ac:dyDescent="0.2">
      <c r="A82" s="219">
        <v>123</v>
      </c>
      <c r="B82" s="223">
        <v>1000</v>
      </c>
      <c r="C82" s="219">
        <v>1</v>
      </c>
      <c r="D82" s="219"/>
      <c r="E82" s="219">
        <v>20</v>
      </c>
      <c r="F82" s="224" t="s">
        <v>78</v>
      </c>
      <c r="G82" s="219">
        <v>537000000</v>
      </c>
      <c r="H82" s="142"/>
      <c r="I82" s="17"/>
      <c r="J82" s="100">
        <f>+CONSOLIDACION!O82</f>
        <v>531903686</v>
      </c>
      <c r="K82" s="100">
        <f>+CONSOLIDACION!P82</f>
        <v>531903686</v>
      </c>
      <c r="L82" s="145"/>
      <c r="M82" s="100">
        <f t="shared" ref="M82:M86" si="2">+G82-J82</f>
        <v>5096314</v>
      </c>
      <c r="N82" s="153">
        <f t="shared" si="1"/>
        <v>99.050965735567971</v>
      </c>
      <c r="P82" s="49"/>
      <c r="Q82" s="49"/>
    </row>
    <row r="83" spans="1:17" s="46" customFormat="1" ht="42" customHeight="1" x14ac:dyDescent="0.2">
      <c r="A83" s="219">
        <v>510</v>
      </c>
      <c r="B83" s="223">
        <v>1000</v>
      </c>
      <c r="C83" s="219">
        <v>2</v>
      </c>
      <c r="D83" s="219"/>
      <c r="E83" s="219">
        <v>20</v>
      </c>
      <c r="F83" s="224" t="s">
        <v>84</v>
      </c>
      <c r="G83" s="219">
        <v>109000000</v>
      </c>
      <c r="H83" s="143"/>
      <c r="I83" s="23"/>
      <c r="J83" s="100">
        <f>+CONSOLIDACION!O83</f>
        <v>37251000</v>
      </c>
      <c r="K83" s="100">
        <f>+CONSOLIDACION!P83</f>
        <v>37251000</v>
      </c>
      <c r="L83" s="144"/>
      <c r="M83" s="100">
        <f t="shared" si="2"/>
        <v>71749000</v>
      </c>
      <c r="N83" s="153">
        <f t="shared" si="1"/>
        <v>34.175229357798166</v>
      </c>
      <c r="P83" s="49"/>
      <c r="Q83" s="49"/>
    </row>
    <row r="84" spans="1:17" s="42" customFormat="1" ht="30" customHeight="1" x14ac:dyDescent="0.2">
      <c r="A84" s="219">
        <v>520</v>
      </c>
      <c r="B84" s="223">
        <v>1000</v>
      </c>
      <c r="C84" s="219">
        <v>5</v>
      </c>
      <c r="D84" s="219"/>
      <c r="E84" s="219">
        <v>20</v>
      </c>
      <c r="F84" s="224" t="s">
        <v>79</v>
      </c>
      <c r="G84" s="219">
        <v>1104000000</v>
      </c>
      <c r="H84" s="142"/>
      <c r="I84" s="17"/>
      <c r="J84" s="100">
        <f>+CONSOLIDACION!O84</f>
        <v>1011149357</v>
      </c>
      <c r="K84" s="100">
        <f>+CONSOLIDACION!P84</f>
        <v>1011149357</v>
      </c>
      <c r="L84" s="145"/>
      <c r="M84" s="100">
        <f t="shared" si="2"/>
        <v>92850643</v>
      </c>
      <c r="N84" s="153">
        <f t="shared" si="1"/>
        <v>91.589615670289859</v>
      </c>
      <c r="P84" s="49"/>
      <c r="Q84" s="49"/>
    </row>
    <row r="85" spans="1:17" s="42" customFormat="1" ht="31.5" customHeight="1" x14ac:dyDescent="0.2">
      <c r="A85" s="219">
        <v>520</v>
      </c>
      <c r="B85" s="223">
        <v>1700</v>
      </c>
      <c r="C85" s="219">
        <v>1</v>
      </c>
      <c r="D85" s="219"/>
      <c r="E85" s="219">
        <v>20</v>
      </c>
      <c r="F85" s="224" t="s">
        <v>88</v>
      </c>
      <c r="G85" s="219">
        <v>17000000</v>
      </c>
      <c r="H85" s="52"/>
      <c r="I85" s="17"/>
      <c r="J85" s="100">
        <f>+CONSOLIDACION!O85</f>
        <v>0</v>
      </c>
      <c r="K85" s="100">
        <f>+CONSOLIDACION!P85</f>
        <v>0</v>
      </c>
      <c r="L85" s="271"/>
      <c r="M85" s="100">
        <f t="shared" si="2"/>
        <v>17000000</v>
      </c>
      <c r="N85" s="153">
        <f t="shared" si="1"/>
        <v>0</v>
      </c>
      <c r="P85" s="49"/>
      <c r="Q85" s="49"/>
    </row>
    <row r="86" spans="1:17" s="42" customFormat="1" ht="39.75" customHeight="1" thickBot="1" x14ac:dyDescent="0.25">
      <c r="A86" s="219">
        <v>520</v>
      </c>
      <c r="B86" s="223">
        <v>1700</v>
      </c>
      <c r="C86" s="219">
        <v>2</v>
      </c>
      <c r="D86" s="219"/>
      <c r="E86" s="219"/>
      <c r="F86" s="224" t="s">
        <v>89</v>
      </c>
      <c r="G86" s="219">
        <v>2274000000</v>
      </c>
      <c r="H86" s="52"/>
      <c r="I86" s="20"/>
      <c r="J86" s="219">
        <f>+CONSOLIDACION!O86</f>
        <v>2066728638</v>
      </c>
      <c r="K86" s="219">
        <f>+CONSOLIDACION!P86</f>
        <v>2066728638</v>
      </c>
      <c r="L86" s="264"/>
      <c r="M86" s="263">
        <f t="shared" si="2"/>
        <v>207271362</v>
      </c>
      <c r="N86" s="265">
        <f t="shared" si="1"/>
        <v>90.885164379947227</v>
      </c>
      <c r="O86" s="292"/>
    </row>
    <row r="87" spans="1:17" s="42" customFormat="1" ht="15" customHeight="1" x14ac:dyDescent="0.2">
      <c r="A87" s="108"/>
      <c r="B87" s="74"/>
      <c r="C87" s="74"/>
      <c r="D87" s="74"/>
      <c r="E87" s="74"/>
      <c r="F87" s="74"/>
      <c r="G87" s="109"/>
      <c r="H87" s="52"/>
      <c r="I87" s="105"/>
      <c r="J87" s="74"/>
      <c r="K87" s="74"/>
      <c r="L87" s="45"/>
      <c r="M87" s="154"/>
      <c r="N87" s="267"/>
    </row>
    <row r="88" spans="1:17" s="43" customFormat="1" ht="7.5" customHeight="1" x14ac:dyDescent="0.2">
      <c r="A88" s="115"/>
      <c r="B88" s="73"/>
      <c r="C88" s="73"/>
      <c r="D88" s="73"/>
      <c r="E88" s="73"/>
      <c r="F88" s="73"/>
      <c r="G88" s="105"/>
      <c r="H88" s="52"/>
      <c r="I88" s="105"/>
      <c r="J88" s="81"/>
      <c r="K88" s="81"/>
      <c r="L88" s="45"/>
      <c r="M88" s="154"/>
      <c r="N88" s="268"/>
    </row>
    <row r="89" spans="1:17" x14ac:dyDescent="0.2">
      <c r="A89" s="115"/>
      <c r="B89" s="73"/>
      <c r="C89" s="73"/>
      <c r="D89" s="73"/>
      <c r="E89" s="73"/>
      <c r="F89" s="73"/>
      <c r="G89" s="105"/>
      <c r="H89" s="30"/>
      <c r="I89" s="105"/>
      <c r="J89" s="48"/>
      <c r="K89" s="155"/>
      <c r="L89" s="136"/>
      <c r="M89" s="155"/>
      <c r="N89" s="268"/>
      <c r="O89" s="53"/>
    </row>
    <row r="90" spans="1:17" ht="13.5" customHeight="1" x14ac:dyDescent="0.2">
      <c r="A90" s="117"/>
      <c r="B90" s="73"/>
      <c r="C90" s="73"/>
      <c r="D90" s="73"/>
      <c r="E90" s="289" t="s">
        <v>93</v>
      </c>
      <c r="F90" s="290"/>
      <c r="G90" s="291"/>
      <c r="H90" s="291"/>
      <c r="I90" s="291"/>
      <c r="J90" s="291"/>
      <c r="K90" s="118" t="s">
        <v>85</v>
      </c>
      <c r="L90" s="29"/>
      <c r="M90" s="63"/>
      <c r="N90" s="268"/>
    </row>
    <row r="91" spans="1:17" x14ac:dyDescent="0.2">
      <c r="A91" s="115"/>
      <c r="B91" s="73"/>
      <c r="C91" s="73"/>
      <c r="D91" s="73"/>
      <c r="E91" s="73" t="s">
        <v>94</v>
      </c>
      <c r="F91" s="73"/>
      <c r="G91" s="105"/>
      <c r="H91" s="8"/>
      <c r="I91" s="105"/>
      <c r="K91" s="107" t="s">
        <v>91</v>
      </c>
      <c r="L91" s="29"/>
      <c r="M91" s="63"/>
      <c r="N91" s="268"/>
    </row>
    <row r="92" spans="1:17" ht="13.5" thickBot="1" x14ac:dyDescent="0.25">
      <c r="A92" s="120"/>
      <c r="B92" s="75"/>
      <c r="C92" s="75"/>
      <c r="D92" s="75"/>
      <c r="E92" s="75"/>
      <c r="F92" s="75"/>
      <c r="G92" s="121"/>
      <c r="H92" s="121"/>
      <c r="I92" s="121"/>
      <c r="J92" s="121"/>
      <c r="K92" s="124" t="s">
        <v>86</v>
      </c>
      <c r="L92" s="75"/>
      <c r="M92" s="75"/>
      <c r="N92" s="269"/>
    </row>
    <row r="93" spans="1:17" x14ac:dyDescent="0.2">
      <c r="A93" s="9"/>
      <c r="B93" s="7"/>
      <c r="C93" s="7"/>
      <c r="D93" s="7"/>
      <c r="E93" s="9"/>
      <c r="F93" s="24"/>
      <c r="G93" s="28"/>
      <c r="H93" s="8"/>
      <c r="I93" s="25"/>
      <c r="J93" s="81"/>
      <c r="K93" s="119"/>
      <c r="L93" s="29"/>
      <c r="M93" s="63"/>
      <c r="N93" s="266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1"/>
      <c r="K94" s="158"/>
      <c r="L94" s="29"/>
      <c r="M94" s="63"/>
      <c r="N94" s="156"/>
    </row>
    <row r="95" spans="1:17" x14ac:dyDescent="0.2">
      <c r="A95" s="7"/>
      <c r="B95" s="7"/>
      <c r="C95" s="7"/>
      <c r="D95" s="7"/>
      <c r="E95" s="7"/>
      <c r="F95" s="24"/>
      <c r="G95" s="28"/>
      <c r="H95" s="8"/>
      <c r="I95" s="25"/>
      <c r="J95" s="81"/>
      <c r="K95" s="81"/>
      <c r="L95" s="29"/>
      <c r="M95" s="63"/>
      <c r="N95" s="156"/>
    </row>
    <row r="96" spans="1:17" x14ac:dyDescent="0.2">
      <c r="A96" s="162"/>
    </row>
    <row r="97" spans="1:1" x14ac:dyDescent="0.2">
      <c r="A97" s="162"/>
    </row>
    <row r="98" spans="1:1" x14ac:dyDescent="0.2">
      <c r="A98" s="162"/>
    </row>
    <row r="99" spans="1:1" x14ac:dyDescent="0.2">
      <c r="A99" s="162"/>
    </row>
    <row r="100" spans="1:1" x14ac:dyDescent="0.2">
      <c r="A100" s="162"/>
    </row>
    <row r="101" spans="1:1" x14ac:dyDescent="0.2">
      <c r="A101" s="162"/>
    </row>
    <row r="102" spans="1:1" x14ac:dyDescent="0.2">
      <c r="A102" s="162"/>
    </row>
    <row r="103" spans="1:1" x14ac:dyDescent="0.2">
      <c r="A103" s="162"/>
    </row>
    <row r="104" spans="1:1" x14ac:dyDescent="0.2">
      <c r="A104" s="162"/>
    </row>
    <row r="105" spans="1:1" x14ac:dyDescent="0.2">
      <c r="A105" s="162"/>
    </row>
    <row r="106" spans="1:1" x14ac:dyDescent="0.2">
      <c r="A106" s="162"/>
    </row>
    <row r="107" spans="1:1" x14ac:dyDescent="0.2">
      <c r="A107" s="162"/>
    </row>
    <row r="108" spans="1:1" x14ac:dyDescent="0.2">
      <c r="A108" s="162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Sennia Maria Diaz Salazar</cp:lastModifiedBy>
  <cp:lastPrinted>2014-01-10T17:25:46Z</cp:lastPrinted>
  <dcterms:created xsi:type="dcterms:W3CDTF">2006-02-22T14:18:00Z</dcterms:created>
  <dcterms:modified xsi:type="dcterms:W3CDTF">2014-03-19T21:52:26Z</dcterms:modified>
</cp:coreProperties>
</file>