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jorozco\Downloads\ACTUALIZACIÓN MAPA DE RIESGOS\"/>
    </mc:Choice>
  </mc:AlternateContent>
  <xr:revisionPtr revIDLastSave="0" documentId="13_ncr:1_{59F94340-74F9-4634-94CB-E79F430E13D5}" xr6:coauthVersionLast="47" xr6:coauthVersionMax="47" xr10:uidLastSave="{00000000-0000-0000-0000-000000000000}"/>
  <bookViews>
    <workbookView xWindow="-120" yWindow="-120" windowWidth="29040" windowHeight="15720" tabRatio="850" firstSheet="4" activeTab="5" xr2:uid="{00000000-000D-0000-FFFF-FFFF00000000}"/>
  </bookViews>
  <sheets>
    <sheet name="1 INSTRUCTIVO" sheetId="38" r:id="rId1"/>
    <sheet name="11 FORMULAS" sheetId="34" state="hidden" r:id="rId2"/>
    <sheet name="2 CONTEXTO E IDENTIFICACIÓN" sheetId="30"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 r:id="rId14"/>
  </externalReferences>
  <definedNames>
    <definedName name="_xlnm._FilterDatabase" localSheetId="0" hidden="1">'1 INSTRUCTIVO'!$B$85:$H$119</definedName>
    <definedName name="_xlnm._FilterDatabase" localSheetId="2"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CONTROL'!$A$7:$X$128</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2">'[1]LISTAS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2">'[1]LISTAS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2">'[1]LISTAS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2">'[1]LISTAS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2">'[1]LISTAS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RIESGOS'!$AJ$15:$AJ$17</definedName>
    <definedName name="Reputacional">'3 PROBABIL E IMPACTO INHERENTE'!$Y$9:$Y$14</definedName>
    <definedName name="Requiere_Plan_de_Acción">'8 MAPA RIESGOS'!$AJ$15:$AJ$17</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2">'2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15" l="1"/>
  <c r="C10" i="15"/>
  <c r="C9" i="15"/>
  <c r="I8" i="9"/>
  <c r="D10" i="36"/>
  <c r="F10" i="36"/>
  <c r="D11" i="36"/>
  <c r="F11" i="36"/>
  <c r="D12" i="36"/>
  <c r="F12" i="36"/>
  <c r="A11" i="36"/>
  <c r="N20" i="9"/>
  <c r="L20" i="9"/>
  <c r="K20" i="9"/>
  <c r="D20" i="9"/>
  <c r="D14" i="9"/>
  <c r="A20" i="9"/>
  <c r="A14" i="9"/>
  <c r="I20" i="9"/>
  <c r="Q11" i="36" s="1"/>
  <c r="K12" i="15"/>
  <c r="M12" i="15" s="1"/>
  <c r="N12" i="15" s="1"/>
  <c r="L12" i="15"/>
  <c r="H12" i="15"/>
  <c r="I12" i="15"/>
  <c r="D12" i="15"/>
  <c r="F12" i="15" s="1"/>
  <c r="A11" i="15"/>
  <c r="A12" i="15"/>
  <c r="E12" i="15" l="1"/>
  <c r="C12" i="36" s="1"/>
  <c r="S20" i="9"/>
  <c r="U20" i="9"/>
  <c r="W20" i="9" s="1"/>
  <c r="J11" i="30"/>
  <c r="E11" i="30"/>
  <c r="D11" i="30"/>
  <c r="Q9" i="36"/>
  <c r="J10" i="30"/>
  <c r="B14" i="9" s="1"/>
  <c r="J9" i="30"/>
  <c r="J12" i="30"/>
  <c r="B12" i="15" s="1"/>
  <c r="E10" i="30"/>
  <c r="E12"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0" i="9"/>
  <c r="N11" i="9"/>
  <c r="N12" i="9"/>
  <c r="N13" i="9"/>
  <c r="N14" i="9"/>
  <c r="N15" i="9"/>
  <c r="N16" i="9"/>
  <c r="N17" i="9"/>
  <c r="N18" i="9"/>
  <c r="N19" i="9"/>
  <c r="N21" i="9"/>
  <c r="N22" i="9"/>
  <c r="N23" i="9"/>
  <c r="N24" i="9"/>
  <c r="N25" i="9"/>
  <c r="N26"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8" i="9"/>
  <c r="L9" i="9"/>
  <c r="L10" i="9"/>
  <c r="L11" i="9"/>
  <c r="L12" i="9"/>
  <c r="L13" i="9"/>
  <c r="L14" i="9"/>
  <c r="L15" i="9"/>
  <c r="L16" i="9"/>
  <c r="L17" i="9"/>
  <c r="L18" i="9"/>
  <c r="L19" i="9"/>
  <c r="L21" i="9"/>
  <c r="L22" i="9"/>
  <c r="L23" i="9"/>
  <c r="L24" i="9"/>
  <c r="L25" i="9"/>
  <c r="L26"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U96" i="9" s="1"/>
  <c r="L97" i="9"/>
  <c r="U97" i="9" s="1"/>
  <c r="L98" i="9"/>
  <c r="U98" i="9" s="1"/>
  <c r="L99" i="9"/>
  <c r="L100" i="9"/>
  <c r="L101" i="9"/>
  <c r="L102" i="9"/>
  <c r="L103" i="9"/>
  <c r="L104" i="9"/>
  <c r="U104" i="9" s="1"/>
  <c r="L105" i="9"/>
  <c r="L106" i="9"/>
  <c r="U106" i="9" s="1"/>
  <c r="L107" i="9"/>
  <c r="U107" i="9" s="1"/>
  <c r="L108" i="9"/>
  <c r="L109" i="9"/>
  <c r="L110" i="9"/>
  <c r="L111" i="9"/>
  <c r="L112" i="9"/>
  <c r="U112" i="9" s="1"/>
  <c r="L113" i="9"/>
  <c r="U113" i="9" s="1"/>
  <c r="L114" i="9"/>
  <c r="U114" i="9" s="1"/>
  <c r="L115" i="9"/>
  <c r="U115" i="9" s="1"/>
  <c r="L116" i="9"/>
  <c r="L117" i="9"/>
  <c r="L118" i="9"/>
  <c r="L119" i="9"/>
  <c r="L120" i="9"/>
  <c r="U120" i="9" s="1"/>
  <c r="L121" i="9"/>
  <c r="U121" i="9" s="1"/>
  <c r="L122" i="9"/>
  <c r="L123" i="9"/>
  <c r="L124" i="9"/>
  <c r="L125" i="9"/>
  <c r="L126" i="9"/>
  <c r="L127" i="9"/>
  <c r="L128" i="9"/>
  <c r="U128" i="9" s="1"/>
  <c r="L8" i="9"/>
  <c r="K9" i="9"/>
  <c r="K10" i="9"/>
  <c r="K11" i="9"/>
  <c r="K12" i="9"/>
  <c r="K13" i="9"/>
  <c r="K14" i="9"/>
  <c r="K15" i="9"/>
  <c r="K16" i="9"/>
  <c r="S16" i="9" s="1"/>
  <c r="K17" i="9"/>
  <c r="K18" i="9"/>
  <c r="K19" i="9"/>
  <c r="K21" i="9"/>
  <c r="K22" i="9"/>
  <c r="K23" i="9"/>
  <c r="K24" i="9"/>
  <c r="K25" i="9"/>
  <c r="K26" i="9"/>
  <c r="K39" i="9"/>
  <c r="K40" i="9"/>
  <c r="K41" i="9"/>
  <c r="K42" i="9"/>
  <c r="K43" i="9"/>
  <c r="K44" i="9"/>
  <c r="K45" i="9"/>
  <c r="K46" i="9"/>
  <c r="K47" i="9"/>
  <c r="K48" i="9"/>
  <c r="K49" i="9"/>
  <c r="S49" i="9" s="1"/>
  <c r="K50" i="9"/>
  <c r="K51" i="9"/>
  <c r="K52" i="9"/>
  <c r="K53" i="9"/>
  <c r="K54" i="9"/>
  <c r="K55" i="9"/>
  <c r="K56" i="9"/>
  <c r="K57" i="9"/>
  <c r="K58" i="9"/>
  <c r="K59" i="9"/>
  <c r="K60" i="9"/>
  <c r="K61" i="9"/>
  <c r="K62" i="9"/>
  <c r="K63" i="9"/>
  <c r="K64" i="9"/>
  <c r="K65" i="9"/>
  <c r="K66" i="9"/>
  <c r="K67" i="9"/>
  <c r="K68" i="9"/>
  <c r="K69" i="9"/>
  <c r="S69" i="9" s="1"/>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S109" i="9" s="1"/>
  <c r="K110" i="9"/>
  <c r="K111" i="9"/>
  <c r="K112" i="9"/>
  <c r="K113" i="9"/>
  <c r="K114" i="9"/>
  <c r="K115" i="9"/>
  <c r="K116" i="9"/>
  <c r="K117" i="9"/>
  <c r="K118" i="9"/>
  <c r="K119" i="9"/>
  <c r="K120" i="9"/>
  <c r="K121" i="9"/>
  <c r="K122" i="9"/>
  <c r="K123" i="9"/>
  <c r="K124" i="9"/>
  <c r="K125" i="9"/>
  <c r="K126" i="9"/>
  <c r="K127" i="9"/>
  <c r="K128" i="9"/>
  <c r="I9" i="9"/>
  <c r="I10" i="9"/>
  <c r="I11" i="9"/>
  <c r="I12" i="9"/>
  <c r="I13" i="9"/>
  <c r="I14" i="9"/>
  <c r="Q10" i="36" s="1"/>
  <c r="I15" i="9"/>
  <c r="I16" i="9"/>
  <c r="I17" i="9"/>
  <c r="I18" i="9"/>
  <c r="I19" i="9"/>
  <c r="I21" i="9"/>
  <c r="Q12" i="36" s="1"/>
  <c r="I22" i="9"/>
  <c r="I23" i="9"/>
  <c r="I24" i="9"/>
  <c r="I25" i="9"/>
  <c r="I26"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K8" i="9"/>
  <c r="S17" i="9" l="1"/>
  <c r="B20" i="9"/>
  <c r="B11" i="36"/>
  <c r="B11" i="15"/>
  <c r="S22" i="9"/>
  <c r="S112" i="9"/>
  <c r="S92" i="9"/>
  <c r="S72" i="9"/>
  <c r="S52" i="9"/>
  <c r="S113" i="9"/>
  <c r="S93" i="9"/>
  <c r="S73" i="9"/>
  <c r="S53" i="9"/>
  <c r="S21" i="9"/>
  <c r="S48" i="9"/>
  <c r="S65" i="9"/>
  <c r="S124" i="9"/>
  <c r="S84" i="9"/>
  <c r="S108" i="9"/>
  <c r="S12" i="9"/>
  <c r="S44" i="9"/>
  <c r="S61" i="9"/>
  <c r="S120" i="9"/>
  <c r="S105" i="9"/>
  <c r="S81" i="9"/>
  <c r="S60" i="9"/>
  <c r="S88" i="9"/>
  <c r="S125" i="9"/>
  <c r="S41" i="9"/>
  <c r="S100" i="9"/>
  <c r="S68" i="9"/>
  <c r="S64" i="9"/>
  <c r="S80" i="9"/>
  <c r="S128" i="9"/>
  <c r="S101" i="9"/>
  <c r="S40" i="9"/>
  <c r="S45" i="9"/>
  <c r="S104" i="9"/>
  <c r="S121" i="9"/>
  <c r="S13" i="9"/>
  <c r="S85" i="9"/>
  <c r="S26" i="9"/>
  <c r="S117" i="9"/>
  <c r="S97" i="9"/>
  <c r="S77" i="9"/>
  <c r="S57" i="9"/>
  <c r="S25" i="9"/>
  <c r="S9" i="9"/>
  <c r="S116" i="9"/>
  <c r="S96" i="9"/>
  <c r="S76" i="9"/>
  <c r="S56" i="9"/>
  <c r="S126" i="9"/>
  <c r="S122" i="9"/>
  <c r="U122" i="9" s="1"/>
  <c r="S118" i="9"/>
  <c r="S114" i="9"/>
  <c r="S110" i="9"/>
  <c r="S106" i="9"/>
  <c r="S102" i="9"/>
  <c r="S98" i="9"/>
  <c r="S94" i="9"/>
  <c r="S90" i="9"/>
  <c r="S86" i="9"/>
  <c r="S82" i="9"/>
  <c r="S78" i="9"/>
  <c r="S74" i="9"/>
  <c r="S70" i="9"/>
  <c r="S66" i="9"/>
  <c r="S62" i="9"/>
  <c r="S58" i="9"/>
  <c r="S54" i="9"/>
  <c r="S50" i="9"/>
  <c r="S46" i="9"/>
  <c r="S42" i="9"/>
  <c r="S23" i="9"/>
  <c r="S18" i="9"/>
  <c r="S10" i="9"/>
  <c r="S127" i="9"/>
  <c r="S123" i="9"/>
  <c r="S119" i="9"/>
  <c r="S115" i="9"/>
  <c r="S111" i="9"/>
  <c r="S107" i="9"/>
  <c r="S103" i="9"/>
  <c r="S99" i="9"/>
  <c r="S95" i="9"/>
  <c r="S91" i="9"/>
  <c r="S87" i="9"/>
  <c r="S83" i="9"/>
  <c r="S79" i="9"/>
  <c r="S75" i="9"/>
  <c r="S71" i="9"/>
  <c r="S67" i="9"/>
  <c r="S63" i="9"/>
  <c r="S59" i="9"/>
  <c r="S55" i="9"/>
  <c r="S51" i="9"/>
  <c r="S47" i="9"/>
  <c r="S43" i="9"/>
  <c r="S39" i="9"/>
  <c r="S24" i="9"/>
  <c r="S19" i="9"/>
  <c r="S15" i="9"/>
  <c r="S11" i="9"/>
  <c r="S14" i="9"/>
  <c r="S8" i="9"/>
  <c r="U127" i="9"/>
  <c r="U119" i="9"/>
  <c r="U103" i="9"/>
  <c r="U95" i="9"/>
  <c r="U126" i="9"/>
  <c r="U118" i="9"/>
  <c r="U110" i="9"/>
  <c r="U102" i="9"/>
  <c r="U94" i="9"/>
  <c r="U125" i="9"/>
  <c r="U109" i="9"/>
  <c r="U101" i="9"/>
  <c r="U124" i="9"/>
  <c r="U116" i="9"/>
  <c r="U108" i="9"/>
  <c r="U100" i="9"/>
  <c r="S89"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3" i="9"/>
  <c r="A117" i="9"/>
  <c r="A111" i="9"/>
  <c r="A105" i="9"/>
  <c r="A99" i="9"/>
  <c r="A93" i="9"/>
  <c r="A87" i="9"/>
  <c r="A81" i="9"/>
  <c r="A75" i="9"/>
  <c r="A69" i="9"/>
  <c r="A63" i="9"/>
  <c r="A57" i="9"/>
  <c r="A51" i="9"/>
  <c r="A45" i="9"/>
  <c r="A39" i="9"/>
  <c r="A21" i="9"/>
  <c r="I3" i="31"/>
  <c r="I2" i="31"/>
  <c r="G4" i="15"/>
  <c r="G2" i="15"/>
  <c r="D10" i="30"/>
  <c r="D12" i="30"/>
  <c r="H9" i="15"/>
  <c r="H10" i="15"/>
  <c r="H11" i="15"/>
  <c r="H14" i="15"/>
  <c r="H15" i="15"/>
  <c r="H16" i="15"/>
  <c r="H17" i="15"/>
  <c r="H18" i="15"/>
  <c r="H19" i="15"/>
  <c r="H20" i="15"/>
  <c r="H21" i="15"/>
  <c r="H22" i="15"/>
  <c r="H23" i="15"/>
  <c r="H24" i="15"/>
  <c r="H25" i="15"/>
  <c r="H26" i="15"/>
  <c r="H27" i="15"/>
  <c r="H28" i="15"/>
  <c r="M28" i="15" s="1"/>
  <c r="N28" i="15" s="1"/>
  <c r="D28" i="31" s="1"/>
  <c r="F27" i="36" s="1"/>
  <c r="L9" i="15"/>
  <c r="K10" i="15"/>
  <c r="L10" i="15"/>
  <c r="K11" i="15"/>
  <c r="L11" i="15"/>
  <c r="K14" i="15"/>
  <c r="L14" i="15"/>
  <c r="K15" i="15"/>
  <c r="L15" i="15"/>
  <c r="K16" i="15"/>
  <c r="L16" i="15"/>
  <c r="K17" i="15"/>
  <c r="L17" i="15"/>
  <c r="K18" i="15"/>
  <c r="L18" i="15"/>
  <c r="K19" i="15"/>
  <c r="L19" i="15"/>
  <c r="K20" i="15"/>
  <c r="L20" i="15"/>
  <c r="K21" i="15"/>
  <c r="L21" i="15"/>
  <c r="K22" i="15"/>
  <c r="M22" i="15" s="1"/>
  <c r="L22" i="15"/>
  <c r="K23" i="15"/>
  <c r="L23" i="15"/>
  <c r="K24" i="15"/>
  <c r="L24" i="15"/>
  <c r="K25" i="15"/>
  <c r="L25" i="15"/>
  <c r="K26" i="15"/>
  <c r="M26" i="15" s="1"/>
  <c r="L26" i="15"/>
  <c r="K27" i="15"/>
  <c r="L27" i="15"/>
  <c r="K28" i="15"/>
  <c r="L28" i="15"/>
  <c r="K9" i="15"/>
  <c r="I10" i="15"/>
  <c r="I11" i="15"/>
  <c r="I14" i="15"/>
  <c r="I15" i="15"/>
  <c r="I16" i="15"/>
  <c r="I17" i="15"/>
  <c r="I18" i="15"/>
  <c r="I19" i="15"/>
  <c r="I20" i="15"/>
  <c r="I21" i="15"/>
  <c r="I22" i="15"/>
  <c r="I23" i="15"/>
  <c r="I24" i="15"/>
  <c r="I25" i="15"/>
  <c r="I26" i="15"/>
  <c r="I27" i="15"/>
  <c r="I28" i="15"/>
  <c r="I9" i="15"/>
  <c r="D10" i="15"/>
  <c r="E10" i="15" s="1"/>
  <c r="D11" i="15"/>
  <c r="F11" i="15" s="1"/>
  <c r="C11" i="31" s="1"/>
  <c r="E11" i="36" s="1"/>
  <c r="C13" i="31"/>
  <c r="D14" i="15"/>
  <c r="E14" i="15" s="1"/>
  <c r="D15" i="15"/>
  <c r="F15" i="15" s="1"/>
  <c r="C15" i="31" s="1"/>
  <c r="D16" i="15"/>
  <c r="E16" i="15" s="1"/>
  <c r="C15" i="36" s="1"/>
  <c r="D17" i="15"/>
  <c r="F17" i="15" s="1"/>
  <c r="C17" i="31" s="1"/>
  <c r="E17" i="31" s="1"/>
  <c r="G16" i="36" s="1"/>
  <c r="D18" i="15"/>
  <c r="F18" i="15" s="1"/>
  <c r="C18" i="31" s="1"/>
  <c r="D19" i="15"/>
  <c r="F19" i="15" s="1"/>
  <c r="C19" i="31" s="1"/>
  <c r="E19" i="31" s="1"/>
  <c r="G18" i="36" s="1"/>
  <c r="D20" i="15"/>
  <c r="E20" i="15" s="1"/>
  <c r="D21" i="15"/>
  <c r="E21" i="15" s="1"/>
  <c r="C81" i="9" s="1"/>
  <c r="D22" i="15"/>
  <c r="E22" i="15" s="1"/>
  <c r="D23" i="15"/>
  <c r="E23" i="15" s="1"/>
  <c r="D24" i="15"/>
  <c r="E24" i="15" s="1"/>
  <c r="D25" i="15"/>
  <c r="F25" i="15" s="1"/>
  <c r="C25" i="31" s="1"/>
  <c r="D26" i="15"/>
  <c r="F26" i="15" s="1"/>
  <c r="C26" i="31" s="1"/>
  <c r="D27" i="15"/>
  <c r="E27" i="15" s="1"/>
  <c r="D28" i="15"/>
  <c r="F28" i="15" s="1"/>
  <c r="C28" i="31" s="1"/>
  <c r="E28" i="15"/>
  <c r="C27" i="36" s="1"/>
  <c r="M20" i="15"/>
  <c r="D75" i="9" s="1"/>
  <c r="B10" i="15"/>
  <c r="B21" i="9"/>
  <c r="B14" i="31"/>
  <c r="B15" i="35"/>
  <c r="B51" i="9"/>
  <c r="B57" i="9"/>
  <c r="B63" i="9"/>
  <c r="B19" i="35"/>
  <c r="B75" i="9"/>
  <c r="B81" i="9"/>
  <c r="B87" i="9"/>
  <c r="B93" i="9"/>
  <c r="B99" i="9"/>
  <c r="B25" i="31"/>
  <c r="B26" i="35"/>
  <c r="B117" i="9"/>
  <c r="B28" i="15"/>
  <c r="B9" i="15"/>
  <c r="A27" i="36"/>
  <c r="A26" i="36"/>
  <c r="A25" i="36"/>
  <c r="A24" i="36"/>
  <c r="A23" i="36"/>
  <c r="B22" i="36"/>
  <c r="A22" i="36"/>
  <c r="A21" i="36"/>
  <c r="A20" i="36"/>
  <c r="A19" i="36"/>
  <c r="A18" i="36"/>
  <c r="A17" i="36"/>
  <c r="A16" i="36"/>
  <c r="A15" i="36"/>
  <c r="A14" i="36"/>
  <c r="A13" i="36"/>
  <c r="A12"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0" i="15"/>
  <c r="A9" i="15"/>
  <c r="C10" i="36" l="1"/>
  <c r="C14" i="9"/>
  <c r="F20" i="15"/>
  <c r="C20" i="31" s="1"/>
  <c r="E19" i="15"/>
  <c r="F21" i="15"/>
  <c r="C21" i="31" s="1"/>
  <c r="F22" i="15"/>
  <c r="C22" i="31" s="1"/>
  <c r="E26" i="15"/>
  <c r="C111" i="9" s="1"/>
  <c r="M18" i="15"/>
  <c r="M19" i="15"/>
  <c r="D18" i="36" s="1"/>
  <c r="E17" i="15"/>
  <c r="C57" i="9" s="1"/>
  <c r="F24" i="15"/>
  <c r="C24" i="31" s="1"/>
  <c r="E24" i="31" s="1"/>
  <c r="G23" i="36" s="1"/>
  <c r="N20" i="15"/>
  <c r="D20" i="31" s="1"/>
  <c r="F19" i="36" s="1"/>
  <c r="E25" i="15"/>
  <c r="C20" i="36"/>
  <c r="M17" i="15"/>
  <c r="N17" i="15" s="1"/>
  <c r="D17" i="31" s="1"/>
  <c r="F16" i="36" s="1"/>
  <c r="M15" i="15"/>
  <c r="N15" i="15" s="1"/>
  <c r="D15" i="31" s="1"/>
  <c r="F14" i="36" s="1"/>
  <c r="M14" i="15"/>
  <c r="D13" i="36" s="1"/>
  <c r="M10" i="15"/>
  <c r="N10" i="15" s="1"/>
  <c r="D10" i="31" s="1"/>
  <c r="D14" i="36"/>
  <c r="D45" i="9"/>
  <c r="U49" i="9" s="1"/>
  <c r="D16" i="36"/>
  <c r="D57" i="9"/>
  <c r="U61" i="9" s="1"/>
  <c r="D12" i="31"/>
  <c r="C39" i="9"/>
  <c r="C13" i="36"/>
  <c r="C117" i="9"/>
  <c r="C26" i="36"/>
  <c r="C87" i="9"/>
  <c r="C21" i="36"/>
  <c r="C25" i="36"/>
  <c r="C123" i="9"/>
  <c r="F16" i="15"/>
  <c r="C16" i="31" s="1"/>
  <c r="E16" i="31" s="1"/>
  <c r="G15" i="36" s="1"/>
  <c r="F14" i="15"/>
  <c r="C14" i="31" s="1"/>
  <c r="D19" i="36"/>
  <c r="C16" i="36"/>
  <c r="E11" i="15"/>
  <c r="E18" i="36"/>
  <c r="C12" i="31"/>
  <c r="E12" i="36" s="1"/>
  <c r="F27" i="15"/>
  <c r="C27" i="31" s="1"/>
  <c r="E26" i="36" s="1"/>
  <c r="M23" i="15"/>
  <c r="D22" i="36" s="1"/>
  <c r="F10" i="15"/>
  <c r="C10" i="31" s="1"/>
  <c r="E10" i="36" s="1"/>
  <c r="M27" i="15"/>
  <c r="N27" i="15" s="1"/>
  <c r="D27" i="31" s="1"/>
  <c r="F26" i="36" s="1"/>
  <c r="M25" i="15"/>
  <c r="N25" i="15" s="1"/>
  <c r="D25" i="31" s="1"/>
  <c r="F24" i="36" s="1"/>
  <c r="M24" i="15"/>
  <c r="N24" i="15" s="1"/>
  <c r="D24" i="31" s="1"/>
  <c r="F23" i="36" s="1"/>
  <c r="M21" i="15"/>
  <c r="N21" i="15" s="1"/>
  <c r="D21" i="31" s="1"/>
  <c r="F20" i="36" s="1"/>
  <c r="M16" i="15"/>
  <c r="D15" i="36" s="1"/>
  <c r="M11" i="15"/>
  <c r="D21" i="9" s="1"/>
  <c r="B111" i="9"/>
  <c r="B13" i="35"/>
  <c r="B12" i="31"/>
  <c r="B17" i="36"/>
  <c r="B18" i="36"/>
  <c r="B26" i="15"/>
  <c r="B16" i="31"/>
  <c r="B18" i="15"/>
  <c r="B24" i="36"/>
  <c r="B17" i="35"/>
  <c r="B25" i="35"/>
  <c r="B105" i="9"/>
  <c r="B19" i="31"/>
  <c r="B13" i="31"/>
  <c r="B25" i="15"/>
  <c r="B19" i="15"/>
  <c r="B39" i="9"/>
  <c r="B21" i="15"/>
  <c r="B14" i="15"/>
  <c r="B20" i="31"/>
  <c r="B14" i="35"/>
  <c r="B13" i="36"/>
  <c r="B69" i="9"/>
  <c r="B15" i="31"/>
  <c r="B11" i="31"/>
  <c r="B10" i="36"/>
  <c r="B27" i="15"/>
  <c r="B23" i="35"/>
  <c r="B23" i="31"/>
  <c r="B20" i="35"/>
  <c r="B20" i="15"/>
  <c r="B18" i="31"/>
  <c r="B11" i="35"/>
  <c r="B12" i="36"/>
  <c r="B25" i="36"/>
  <c r="B27" i="31"/>
  <c r="B16" i="35"/>
  <c r="B21" i="35"/>
  <c r="B16" i="36"/>
  <c r="B21" i="36"/>
  <c r="B17" i="15"/>
  <c r="B16" i="15"/>
  <c r="B21" i="31"/>
  <c r="B17" i="31"/>
  <c r="B12" i="35"/>
  <c r="B27" i="35"/>
  <c r="B26" i="36"/>
  <c r="B45" i="9"/>
  <c r="B22" i="15"/>
  <c r="B26" i="31"/>
  <c r="B22" i="31"/>
  <c r="B10" i="35"/>
  <c r="B18" i="35"/>
  <c r="B22" i="35"/>
  <c r="B14" i="36"/>
  <c r="B10" i="31"/>
  <c r="B15" i="15"/>
  <c r="B20" i="36"/>
  <c r="B24" i="15"/>
  <c r="B28" i="31"/>
  <c r="B24" i="31"/>
  <c r="B24" i="35"/>
  <c r="B28" i="35"/>
  <c r="E21" i="31"/>
  <c r="G20" i="36" s="1"/>
  <c r="E20" i="36"/>
  <c r="E18" i="31"/>
  <c r="G17" i="36" s="1"/>
  <c r="E17" i="36"/>
  <c r="C93" i="9"/>
  <c r="C22" i="36"/>
  <c r="D21" i="36"/>
  <c r="D87" i="9"/>
  <c r="N22" i="15"/>
  <c r="D22" i="31" s="1"/>
  <c r="F21" i="36" s="1"/>
  <c r="E22" i="31"/>
  <c r="G21" i="36" s="1"/>
  <c r="E21" i="36"/>
  <c r="E15" i="31"/>
  <c r="G14" i="36" s="1"/>
  <c r="E14" i="36"/>
  <c r="N26" i="15"/>
  <c r="D26" i="31" s="1"/>
  <c r="F25" i="36" s="1"/>
  <c r="D25" i="36"/>
  <c r="D111" i="9"/>
  <c r="U111" i="9" s="1"/>
  <c r="N16" i="15"/>
  <c r="D16" i="31" s="1"/>
  <c r="F15" i="36" s="1"/>
  <c r="E19" i="36"/>
  <c r="E20" i="31"/>
  <c r="G19" i="36" s="1"/>
  <c r="E26" i="31"/>
  <c r="G25" i="36" s="1"/>
  <c r="E25" i="36"/>
  <c r="E28" i="31"/>
  <c r="G27" i="36" s="1"/>
  <c r="E27" i="36"/>
  <c r="C19" i="36"/>
  <c r="C75" i="9"/>
  <c r="D13" i="31"/>
  <c r="C23" i="36"/>
  <c r="C99" i="9"/>
  <c r="D17" i="36"/>
  <c r="D63" i="9"/>
  <c r="N18" i="15"/>
  <c r="D18" i="31" s="1"/>
  <c r="F17" i="36" s="1"/>
  <c r="E24" i="36"/>
  <c r="E25" i="31"/>
  <c r="G24" i="36" s="1"/>
  <c r="D123" i="9"/>
  <c r="U123" i="9" s="1"/>
  <c r="D27" i="36"/>
  <c r="B15" i="36"/>
  <c r="B19" i="36"/>
  <c r="B23" i="36"/>
  <c r="B27" i="36"/>
  <c r="N19" i="15"/>
  <c r="D19" i="31" s="1"/>
  <c r="F18" i="36" s="1"/>
  <c r="C51" i="9"/>
  <c r="B123" i="9"/>
  <c r="E15" i="15"/>
  <c r="E18" i="15"/>
  <c r="E16" i="36"/>
  <c r="F23" i="15"/>
  <c r="C23" i="31" s="1"/>
  <c r="D69" i="9"/>
  <c r="U80" i="9"/>
  <c r="U75" i="9"/>
  <c r="U76" i="9"/>
  <c r="U78" i="9"/>
  <c r="U79" i="9"/>
  <c r="U77" i="9"/>
  <c r="E9" i="15"/>
  <c r="C8" i="9" s="1"/>
  <c r="T20" i="9" s="1"/>
  <c r="V20" i="9" s="1"/>
  <c r="E9" i="36"/>
  <c r="M9" i="15"/>
  <c r="D8" i="9" s="1"/>
  <c r="B9" i="35"/>
  <c r="B9" i="36"/>
  <c r="B8" i="9"/>
  <c r="B9" i="31"/>
  <c r="C20" i="9" l="1"/>
  <c r="C11" i="36"/>
  <c r="U58" i="9"/>
  <c r="U57" i="9"/>
  <c r="U47" i="9"/>
  <c r="E23" i="36"/>
  <c r="U14" i="9"/>
  <c r="E15" i="36"/>
  <c r="D39" i="9"/>
  <c r="U42" i="9" s="1"/>
  <c r="C69" i="9"/>
  <c r="C18" i="36"/>
  <c r="U60" i="9"/>
  <c r="U59" i="9"/>
  <c r="U62" i="9"/>
  <c r="D17" i="35" s="1"/>
  <c r="F17" i="35" s="1"/>
  <c r="U41" i="9"/>
  <c r="U46" i="9"/>
  <c r="U40" i="9"/>
  <c r="D93" i="9"/>
  <c r="U93" i="9" s="1"/>
  <c r="N11" i="15"/>
  <c r="D11" i="31" s="1"/>
  <c r="N14" i="15"/>
  <c r="D14" i="31" s="1"/>
  <c r="F13" i="36" s="1"/>
  <c r="C105" i="9"/>
  <c r="C24" i="36"/>
  <c r="E13" i="31"/>
  <c r="U48" i="9"/>
  <c r="D51" i="9"/>
  <c r="U54" i="9" s="1"/>
  <c r="U45" i="9"/>
  <c r="U50" i="9"/>
  <c r="W45" i="9" s="1"/>
  <c r="C21" i="9"/>
  <c r="U15" i="9"/>
  <c r="U17" i="9"/>
  <c r="E10" i="31"/>
  <c r="G10" i="36" s="1"/>
  <c r="D99" i="9"/>
  <c r="U99" i="9" s="1"/>
  <c r="E12" i="31"/>
  <c r="G12" i="36" s="1"/>
  <c r="D24" i="36"/>
  <c r="D23" i="36"/>
  <c r="N23" i="15"/>
  <c r="D23" i="31" s="1"/>
  <c r="F22" i="36" s="1"/>
  <c r="D105" i="9"/>
  <c r="U105" i="9" s="1"/>
  <c r="E14" i="31"/>
  <c r="G13" i="36" s="1"/>
  <c r="E13" i="36"/>
  <c r="E27" i="31"/>
  <c r="G26" i="36" s="1"/>
  <c r="D12" i="35"/>
  <c r="D81" i="9"/>
  <c r="U81" i="9" s="1"/>
  <c r="D20" i="36"/>
  <c r="U16" i="9"/>
  <c r="D117" i="9"/>
  <c r="U117" i="9" s="1"/>
  <c r="D26" i="36"/>
  <c r="U19" i="9"/>
  <c r="N9" i="15"/>
  <c r="D9" i="31" s="1"/>
  <c r="E9" i="31" s="1"/>
  <c r="G9" i="36" s="1"/>
  <c r="D9" i="36"/>
  <c r="U13" i="9"/>
  <c r="D9" i="35" s="1"/>
  <c r="I9" i="36" s="1"/>
  <c r="U9" i="9"/>
  <c r="U8" i="9"/>
  <c r="U12" i="9"/>
  <c r="U11" i="9"/>
  <c r="U10" i="9"/>
  <c r="U85" i="9"/>
  <c r="U82" i="9"/>
  <c r="U26" i="9"/>
  <c r="W21" i="9" s="1"/>
  <c r="U21" i="9"/>
  <c r="U22" i="9"/>
  <c r="U23" i="9"/>
  <c r="U25" i="9"/>
  <c r="U24" i="9"/>
  <c r="E23" i="31"/>
  <c r="G22" i="36" s="1"/>
  <c r="E22" i="36"/>
  <c r="U65" i="9"/>
  <c r="U68" i="9"/>
  <c r="D18" i="35" s="1"/>
  <c r="F18" i="35" s="1"/>
  <c r="U67" i="9"/>
  <c r="U64" i="9"/>
  <c r="U66" i="9"/>
  <c r="U63" i="9"/>
  <c r="C9" i="36"/>
  <c r="U72" i="9"/>
  <c r="U71" i="9"/>
  <c r="U74" i="9"/>
  <c r="D19" i="35" s="1"/>
  <c r="F19" i="35" s="1"/>
  <c r="U69" i="9"/>
  <c r="U73" i="9"/>
  <c r="U70" i="9"/>
  <c r="U90" i="9"/>
  <c r="U92" i="9"/>
  <c r="W87" i="9" s="1"/>
  <c r="U89" i="9"/>
  <c r="U91" i="9"/>
  <c r="U88" i="9"/>
  <c r="U87" i="9"/>
  <c r="C14" i="36"/>
  <c r="C45" i="9"/>
  <c r="T127" i="9"/>
  <c r="T116" i="9"/>
  <c r="H25" i="36" s="1"/>
  <c r="J25" i="36" s="1"/>
  <c r="T52" i="9"/>
  <c r="T55" i="9"/>
  <c r="T10" i="9"/>
  <c r="T13" i="9"/>
  <c r="V8" i="9" s="1"/>
  <c r="T67" i="9"/>
  <c r="T82" i="9"/>
  <c r="T17" i="9"/>
  <c r="T89" i="9"/>
  <c r="T25" i="9"/>
  <c r="T104" i="9"/>
  <c r="V99" i="9" s="1"/>
  <c r="T40" i="9"/>
  <c r="T70" i="9"/>
  <c r="T95" i="9"/>
  <c r="T119" i="9"/>
  <c r="T108" i="9"/>
  <c r="T44" i="9"/>
  <c r="H13" i="36" s="1"/>
  <c r="J13" i="36" s="1"/>
  <c r="T103" i="9"/>
  <c r="T123" i="9"/>
  <c r="T59" i="9"/>
  <c r="T74" i="9"/>
  <c r="H18" i="36" s="1"/>
  <c r="J18" i="36" s="1"/>
  <c r="T81" i="9"/>
  <c r="T16" i="9"/>
  <c r="T96" i="9"/>
  <c r="C12" i="35"/>
  <c r="T62" i="9"/>
  <c r="C17" i="35" s="1"/>
  <c r="E17" i="35" s="1"/>
  <c r="T84" i="9"/>
  <c r="T39" i="9"/>
  <c r="T87" i="9"/>
  <c r="T117" i="9"/>
  <c r="T100" i="9"/>
  <c r="T118" i="9"/>
  <c r="T125" i="9"/>
  <c r="T9" i="9"/>
  <c r="T115" i="9"/>
  <c r="T51" i="9"/>
  <c r="T66" i="9"/>
  <c r="T8" i="9"/>
  <c r="T73" i="9"/>
  <c r="T88" i="9"/>
  <c r="T24" i="9"/>
  <c r="T46" i="9"/>
  <c r="T60" i="9"/>
  <c r="T63" i="9"/>
  <c r="T93" i="9"/>
  <c r="T92" i="9"/>
  <c r="C22" i="35" s="1"/>
  <c r="E22" i="35" s="1"/>
  <c r="T94" i="9"/>
  <c r="T101" i="9"/>
  <c r="T107" i="9"/>
  <c r="T43" i="9"/>
  <c r="T122" i="9"/>
  <c r="V117" i="9" s="1"/>
  <c r="T58" i="9"/>
  <c r="T14" i="9"/>
  <c r="T65" i="9"/>
  <c r="T80" i="9"/>
  <c r="C20" i="35" s="1"/>
  <c r="E20" i="35" s="1"/>
  <c r="T15" i="9"/>
  <c r="T11" i="9"/>
  <c r="T77" i="9"/>
  <c r="T19" i="9"/>
  <c r="V14" i="9" s="1"/>
  <c r="T78" i="9"/>
  <c r="T69" i="9"/>
  <c r="T99" i="9"/>
  <c r="T114" i="9"/>
  <c r="T50" i="9"/>
  <c r="H14" i="36" s="1"/>
  <c r="J14" i="36" s="1"/>
  <c r="T121" i="9"/>
  <c r="T57" i="9"/>
  <c r="T12" i="9"/>
  <c r="T72" i="9"/>
  <c r="T71" i="9"/>
  <c r="T22" i="9"/>
  <c r="T126" i="9"/>
  <c r="T53" i="9"/>
  <c r="T76" i="9"/>
  <c r="T54" i="9"/>
  <c r="T110" i="9"/>
  <c r="V105" i="9" s="1"/>
  <c r="T45" i="9"/>
  <c r="T91" i="9"/>
  <c r="T106" i="9"/>
  <c r="T42" i="9"/>
  <c r="T113" i="9"/>
  <c r="T49" i="9"/>
  <c r="T128" i="9"/>
  <c r="T64" i="9"/>
  <c r="T47" i="9"/>
  <c r="T85" i="9"/>
  <c r="T102" i="9"/>
  <c r="T68" i="9"/>
  <c r="H17" i="36" s="1"/>
  <c r="J17" i="36" s="1"/>
  <c r="T111" i="9"/>
  <c r="T21" i="9"/>
  <c r="T83" i="9"/>
  <c r="T18" i="9"/>
  <c r="T98" i="9"/>
  <c r="C23" i="35" s="1"/>
  <c r="E23" i="35" s="1"/>
  <c r="T105" i="9"/>
  <c r="T41" i="9"/>
  <c r="T120" i="9"/>
  <c r="T56" i="9"/>
  <c r="V51" i="9" s="1"/>
  <c r="T23" i="9"/>
  <c r="T61" i="9"/>
  <c r="T124" i="9"/>
  <c r="T79" i="9"/>
  <c r="T109" i="9"/>
  <c r="T75" i="9"/>
  <c r="T90" i="9"/>
  <c r="T26" i="9"/>
  <c r="C11" i="35" s="1"/>
  <c r="T97" i="9"/>
  <c r="T112" i="9"/>
  <c r="T48" i="9"/>
  <c r="T86" i="9"/>
  <c r="C21" i="35" s="1"/>
  <c r="E21" i="35" s="1"/>
  <c r="C63" i="9"/>
  <c r="C17" i="36"/>
  <c r="J13" i="31"/>
  <c r="D14" i="37" s="1"/>
  <c r="J9" i="31"/>
  <c r="D10" i="37" s="1"/>
  <c r="M10" i="31"/>
  <c r="G11" i="37" s="1"/>
  <c r="D27" i="35"/>
  <c r="F27" i="35" s="1"/>
  <c r="W117" i="9"/>
  <c r="I26" i="36"/>
  <c r="K26" i="36" s="1"/>
  <c r="W105" i="9"/>
  <c r="I24" i="36"/>
  <c r="K24" i="36" s="1"/>
  <c r="D25" i="35"/>
  <c r="F25" i="35" s="1"/>
  <c r="W75" i="9"/>
  <c r="I19" i="36"/>
  <c r="K19" i="36" s="1"/>
  <c r="D20" i="35"/>
  <c r="F20" i="35" s="1"/>
  <c r="D28" i="35"/>
  <c r="F28" i="35" s="1"/>
  <c r="W123" i="9"/>
  <c r="I27" i="36"/>
  <c r="K27" i="36" s="1"/>
  <c r="I25" i="36"/>
  <c r="K25" i="36" s="1"/>
  <c r="D26" i="35"/>
  <c r="F26" i="35" s="1"/>
  <c r="W111" i="9"/>
  <c r="D23" i="35"/>
  <c r="F23" i="35" s="1"/>
  <c r="I22" i="36"/>
  <c r="K22" i="36" s="1"/>
  <c r="W93" i="9"/>
  <c r="I23" i="36"/>
  <c r="K23" i="36" s="1"/>
  <c r="W99" i="9"/>
  <c r="D24" i="35"/>
  <c r="F24" i="35" s="1"/>
  <c r="F12" i="35" l="1"/>
  <c r="K12" i="36" s="1"/>
  <c r="I12" i="36"/>
  <c r="E12" i="35"/>
  <c r="J12" i="36" s="1"/>
  <c r="H12" i="36"/>
  <c r="E11" i="35"/>
  <c r="J11" i="36" s="1"/>
  <c r="H11" i="36"/>
  <c r="D10" i="35"/>
  <c r="W14" i="9"/>
  <c r="U18" i="9"/>
  <c r="W57" i="9"/>
  <c r="D15" i="35"/>
  <c r="F15" i="35" s="1"/>
  <c r="H15" i="36"/>
  <c r="J15" i="36" s="1"/>
  <c r="I16" i="36"/>
  <c r="K16" i="36" s="1"/>
  <c r="I14" i="36"/>
  <c r="K14" i="36" s="1"/>
  <c r="W63" i="9"/>
  <c r="I17" i="36"/>
  <c r="K17" i="36" s="1"/>
  <c r="U83" i="9"/>
  <c r="K12" i="31"/>
  <c r="E13" i="37" s="1"/>
  <c r="L12" i="31"/>
  <c r="F13" i="37" s="1"/>
  <c r="M12" i="31"/>
  <c r="G13" i="37" s="1"/>
  <c r="E11" i="31"/>
  <c r="G11" i="36" s="1"/>
  <c r="K13" i="31"/>
  <c r="E14" i="37" s="1"/>
  <c r="I18" i="36"/>
  <c r="K18" i="36" s="1"/>
  <c r="W69" i="9"/>
  <c r="I10" i="31"/>
  <c r="C11" i="37" s="1"/>
  <c r="I13" i="31"/>
  <c r="C14" i="37" s="1"/>
  <c r="U43" i="9"/>
  <c r="U39" i="9"/>
  <c r="U44" i="9"/>
  <c r="J10" i="31"/>
  <c r="D11" i="37" s="1"/>
  <c r="W8" i="9"/>
  <c r="U55" i="9"/>
  <c r="L9" i="31"/>
  <c r="F10" i="37" s="1"/>
  <c r="J11" i="31"/>
  <c r="D12" i="37" s="1"/>
  <c r="J12" i="31"/>
  <c r="D13" i="37" s="1"/>
  <c r="I12" i="31"/>
  <c r="C13" i="37" s="1"/>
  <c r="I11" i="31"/>
  <c r="C12" i="37" s="1"/>
  <c r="K11" i="31"/>
  <c r="E12" i="37" s="1"/>
  <c r="M9" i="31"/>
  <c r="G10" i="37" s="1"/>
  <c r="I9" i="31"/>
  <c r="C10" i="37" s="1"/>
  <c r="U84" i="9"/>
  <c r="I21" i="36"/>
  <c r="K21" i="36" s="1"/>
  <c r="V39" i="9"/>
  <c r="U86" i="9"/>
  <c r="K10" i="31"/>
  <c r="E11" i="37" s="1"/>
  <c r="K9" i="31"/>
  <c r="E10" i="37" s="1"/>
  <c r="L10" i="31"/>
  <c r="F11" i="37" s="1"/>
  <c r="L13" i="31"/>
  <c r="F14" i="37" s="1"/>
  <c r="M11" i="31"/>
  <c r="G12" i="37" s="1"/>
  <c r="M13" i="31"/>
  <c r="G14" i="37" s="1"/>
  <c r="L11" i="31"/>
  <c r="F12" i="37" s="1"/>
  <c r="B15" i="33"/>
  <c r="H19" i="36"/>
  <c r="J19" i="36" s="1"/>
  <c r="L19" i="36" s="1"/>
  <c r="N19" i="36" s="1"/>
  <c r="M19" i="36" s="1"/>
  <c r="P19" i="36" s="1"/>
  <c r="C14" i="35"/>
  <c r="E14" i="35" s="1"/>
  <c r="V75" i="9"/>
  <c r="D22" i="35"/>
  <c r="F22" i="35" s="1"/>
  <c r="G22" i="35" s="1"/>
  <c r="V111" i="9"/>
  <c r="C16" i="35"/>
  <c r="E16" i="35" s="1"/>
  <c r="U52" i="9"/>
  <c r="U51" i="9"/>
  <c r="U53" i="9"/>
  <c r="U56" i="9"/>
  <c r="B16" i="33"/>
  <c r="B14" i="33"/>
  <c r="D13" i="35"/>
  <c r="F13" i="35" s="1"/>
  <c r="D11" i="35"/>
  <c r="G23" i="35"/>
  <c r="G17" i="35"/>
  <c r="F9" i="36"/>
  <c r="H16" i="36"/>
  <c r="J16" i="36" s="1"/>
  <c r="L16" i="36" s="1"/>
  <c r="N16" i="36" s="1"/>
  <c r="M16" i="36" s="1"/>
  <c r="P16" i="36" s="1"/>
  <c r="L18" i="36"/>
  <c r="N18" i="36" s="1"/>
  <c r="M18" i="36" s="1"/>
  <c r="P18" i="36" s="1"/>
  <c r="H23" i="36"/>
  <c r="J23" i="36" s="1"/>
  <c r="L23" i="36" s="1"/>
  <c r="N23" i="36" s="1"/>
  <c r="M23" i="36" s="1"/>
  <c r="P23" i="36" s="1"/>
  <c r="C27" i="35"/>
  <c r="E27" i="35" s="1"/>
  <c r="G27" i="35" s="1"/>
  <c r="C13" i="35"/>
  <c r="E13" i="35" s="1"/>
  <c r="C15" i="35"/>
  <c r="E15" i="35" s="1"/>
  <c r="G15" i="35" s="1"/>
  <c r="C9" i="35"/>
  <c r="H9" i="36" s="1"/>
  <c r="V45" i="9"/>
  <c r="H26" i="36"/>
  <c r="J26" i="36" s="1"/>
  <c r="L26" i="36" s="1"/>
  <c r="N26" i="36" s="1"/>
  <c r="M26" i="36" s="1"/>
  <c r="P26" i="36" s="1"/>
  <c r="C19" i="35"/>
  <c r="E19" i="35" s="1"/>
  <c r="G19" i="35" s="1"/>
  <c r="H20" i="36"/>
  <c r="J20" i="36" s="1"/>
  <c r="H21" i="36"/>
  <c r="J21" i="36" s="1"/>
  <c r="L21" i="36" s="1"/>
  <c r="N21" i="36" s="1"/>
  <c r="M21" i="36" s="1"/>
  <c r="P21" i="36" s="1"/>
  <c r="V57" i="9"/>
  <c r="V69" i="9"/>
  <c r="V81" i="9"/>
  <c r="C24" i="35"/>
  <c r="E24" i="35" s="1"/>
  <c r="G24" i="35" s="1"/>
  <c r="L17" i="36"/>
  <c r="N17" i="36" s="1"/>
  <c r="M17" i="36" s="1"/>
  <c r="P17" i="36" s="1"/>
  <c r="B17" i="33"/>
  <c r="L25" i="36"/>
  <c r="N25" i="36" s="1"/>
  <c r="M25" i="36" s="1"/>
  <c r="P25" i="36" s="1"/>
  <c r="G20" i="35"/>
  <c r="L14" i="36"/>
  <c r="N14" i="36" s="1"/>
  <c r="M14" i="36" s="1"/>
  <c r="P14" i="36" s="1"/>
  <c r="L13" i="36"/>
  <c r="N13" i="36" s="1"/>
  <c r="M13" i="36" s="1"/>
  <c r="P13" i="36" s="1"/>
  <c r="G12" i="35"/>
  <c r="L12" i="36" s="1"/>
  <c r="N12" i="36" s="1"/>
  <c r="M12" i="36" s="1"/>
  <c r="P12" i="36" s="1"/>
  <c r="C26" i="35"/>
  <c r="E26" i="35" s="1"/>
  <c r="G26" i="35" s="1"/>
  <c r="V87" i="9"/>
  <c r="V123" i="9"/>
  <c r="C28" i="35"/>
  <c r="E28" i="35" s="1"/>
  <c r="G28" i="35" s="1"/>
  <c r="H27" i="36"/>
  <c r="J27" i="36" s="1"/>
  <c r="L27" i="36" s="1"/>
  <c r="N27" i="36" s="1"/>
  <c r="M27" i="36" s="1"/>
  <c r="P27" i="36" s="1"/>
  <c r="C25" i="35"/>
  <c r="E25" i="35" s="1"/>
  <c r="G25" i="35" s="1"/>
  <c r="F9" i="35"/>
  <c r="K9" i="36" s="1"/>
  <c r="V63" i="9"/>
  <c r="C18" i="35"/>
  <c r="E18" i="35" s="1"/>
  <c r="G18" i="35" s="1"/>
  <c r="V93" i="9"/>
  <c r="H22" i="36"/>
  <c r="J22" i="36" s="1"/>
  <c r="L22" i="36" s="1"/>
  <c r="N22" i="36" s="1"/>
  <c r="M22" i="36" s="1"/>
  <c r="P22" i="36" s="1"/>
  <c r="C10" i="35"/>
  <c r="V21" i="9"/>
  <c r="H24" i="36"/>
  <c r="J24" i="36" s="1"/>
  <c r="L24" i="36" s="1"/>
  <c r="N24" i="36" s="1"/>
  <c r="M24" i="36" s="1"/>
  <c r="P24" i="36" s="1"/>
  <c r="E10" i="35" l="1"/>
  <c r="J10" i="36" s="1"/>
  <c r="H10" i="36"/>
  <c r="F10" i="35"/>
  <c r="K10" i="36" s="1"/>
  <c r="I10" i="36"/>
  <c r="F11" i="35"/>
  <c r="K11" i="36" s="1"/>
  <c r="I11" i="36"/>
  <c r="W39" i="9"/>
  <c r="I13" i="36"/>
  <c r="K13" i="36" s="1"/>
  <c r="D14" i="35"/>
  <c r="F14" i="35" s="1"/>
  <c r="G14" i="35" s="1"/>
  <c r="G11" i="35"/>
  <c r="L11" i="36" s="1"/>
  <c r="N11" i="36" s="1"/>
  <c r="M11" i="36" s="1"/>
  <c r="P11" i="36" s="1"/>
  <c r="G10" i="35"/>
  <c r="L10" i="36" s="1"/>
  <c r="N10" i="36" s="1"/>
  <c r="M10" i="36" s="1"/>
  <c r="P10" i="36" s="1"/>
  <c r="D21" i="35"/>
  <c r="F21" i="35" s="1"/>
  <c r="G21" i="35" s="1"/>
  <c r="I20" i="36"/>
  <c r="K20" i="36" s="1"/>
  <c r="L20" i="36" s="1"/>
  <c r="N20" i="36" s="1"/>
  <c r="M20" i="36" s="1"/>
  <c r="P20" i="36" s="1"/>
  <c r="W81" i="9"/>
  <c r="E9" i="35"/>
  <c r="G9" i="35" s="1"/>
  <c r="L9" i="36" s="1"/>
  <c r="D16" i="35"/>
  <c r="F16" i="35" s="1"/>
  <c r="G16" i="35" s="1"/>
  <c r="W51" i="9"/>
  <c r="I15" i="36"/>
  <c r="K15" i="36" s="1"/>
  <c r="L15" i="36" s="1"/>
  <c r="N15" i="36" s="1"/>
  <c r="M15" i="36" s="1"/>
  <c r="P15" i="36" s="1"/>
  <c r="B18" i="33"/>
  <c r="C18" i="33" s="1"/>
  <c r="G13" i="35"/>
  <c r="K9" i="35" l="1"/>
  <c r="K10" i="37" s="1"/>
  <c r="J9" i="36"/>
  <c r="M11" i="35"/>
  <c r="M12" i="37" s="1"/>
  <c r="L9" i="35"/>
  <c r="L10" i="37" s="1"/>
  <c r="K11" i="35"/>
  <c r="K12" i="37" s="1"/>
  <c r="M10" i="35"/>
  <c r="M11" i="37" s="1"/>
  <c r="O13" i="35"/>
  <c r="O14" i="37" s="1"/>
  <c r="O9" i="35"/>
  <c r="O10" i="37" s="1"/>
  <c r="O10" i="35"/>
  <c r="O11" i="37" s="1"/>
  <c r="M13" i="35"/>
  <c r="M14" i="37" s="1"/>
  <c r="M9" i="35"/>
  <c r="M10" i="37" s="1"/>
  <c r="L13" i="35"/>
  <c r="L14" i="37" s="1"/>
  <c r="K10" i="35"/>
  <c r="K11" i="37" s="1"/>
  <c r="L10" i="35"/>
  <c r="L11" i="37" s="1"/>
  <c r="K12" i="35"/>
  <c r="K13" i="37" s="1"/>
  <c r="L12" i="35"/>
  <c r="L13" i="37" s="1"/>
  <c r="L11" i="35"/>
  <c r="L12" i="37" s="1"/>
  <c r="N13" i="35"/>
  <c r="N14" i="37" s="1"/>
  <c r="N11" i="35"/>
  <c r="N12" i="37" s="1"/>
  <c r="M12" i="35"/>
  <c r="M13" i="37" s="1"/>
  <c r="O12" i="35"/>
  <c r="O13" i="37" s="1"/>
  <c r="N10" i="35"/>
  <c r="N11" i="37" s="1"/>
  <c r="N9" i="35"/>
  <c r="N10" i="37" s="1"/>
  <c r="O11" i="35"/>
  <c r="O12" i="37" s="1"/>
  <c r="K13" i="35"/>
  <c r="K14" i="37" s="1"/>
  <c r="N12" i="35"/>
  <c r="N13" i="37" s="1"/>
  <c r="C14" i="33"/>
  <c r="C17" i="33"/>
  <c r="C16" i="33"/>
  <c r="C15" i="33"/>
  <c r="B21" i="33"/>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<sst xmlns="http://schemas.openxmlformats.org/spreadsheetml/2006/main" count="1522" uniqueCount="389">
  <si>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</si>
  <si>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</si>
  <si>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</si>
  <si>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</si>
  <si>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</si>
  <si>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</si>
  <si>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</si>
  <si>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</si>
  <si>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</si>
  <si>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</si>
  <si>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</si>
  <si>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</si>
  <si>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</si>
  <si>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</si>
  <si>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</si>
  <si>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</si>
  <si>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</si>
  <si>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</si>
  <si>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</si>
  <si>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</si>
  <si>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</si>
  <si>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</si>
  <si>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</si>
  <si>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</si>
  <si>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</si>
  <si>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</si>
  <si>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</si>
  <si>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</si>
  <si>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</si>
  <si>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</si>
  <si>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</si>
  <si>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</si>
  <si>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</si>
  <si>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</si>
  <si>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</si>
  <si>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</si>
  <si>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</si>
  <si>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</si>
  <si>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</si>
  <si>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</si>
  <si>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</si>
  <si>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</si>
  <si>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</si>
  <si>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</si>
  <si>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</si>
  <si>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</si>
  <si>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</si>
  <si>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</si>
  <si>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</si>
  <si>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</si>
  <si>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</si>
  <si>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</si>
  <si>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</si>
  <si>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</si>
  <si>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</si>
  <si>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</si>
  <si>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</si>
  <si>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</si>
  <si>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</si>
  <si>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</si>
  <si>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</si>
  <si>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</si>
  <si>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</si>
  <si>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</si>
  <si>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</si>
  <si>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</si>
  <si>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</si>
  <si>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</si>
  <si>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</si>
  <si>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</si>
  <si>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</si>
  <si>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</si>
  <si>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</si>
  <si>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</si>
  <si>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</si>
  <si>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</si>
  <si>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</si>
  <si>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</si>
  <si>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</si>
  <si>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</si>
  <si>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</si>
  <si>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</si>
  <si>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</si>
  <si>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</si>
  <si>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</si>
  <si>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</si>
  <si>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</si>
  <si>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</si>
  <si>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</si>
  <si>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</si>
  <si>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</si>
  <si>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</si>
  <si>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</si>
  <si>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</si>
  <si>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</si>
  <si>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</si>
  <si>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</si>
  <si>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</si>
  <si>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</si>
  <si>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</si>
  <si>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</si>
  <si>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</si>
  <si>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</si>
  <si>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</si>
  <si>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</si>
  <si>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</si>
  <si>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</si>
  <si>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</si>
  <si>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</si>
  <si>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</si>
  <si>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</si>
  <si>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</si>
  <si>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</si>
  <si>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</si>
  <si>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</si>
  <si>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</si>
  <si>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</si>
  <si>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</si>
  <si>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</si>
  <si>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</si>
  <si>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</si>
  <si>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</si>
  <si>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</si>
  <si>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</si>
  <si>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</si>
  <si>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</si>
  <si>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</si>
  <si>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</si>
  <si>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</si>
  <si>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</si>
  <si>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</si>
  <si>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</si>
  <si>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</si>
  <si>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</si>
  <si>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</si>
  <si>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</si>
  <si>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</si>
  <si>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</si>
  <si>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</si>
  <si>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</si>
  <si>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</si>
  <si>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</si>
  <si>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</si>
  <si>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</si>
  <si>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</si>
  <si>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</si>
  <si>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</si>
  <si>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</si>
  <si>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</si>
  <si>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</si>
  <si>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</si>
  <si>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</si>
  <si>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</si>
  <si>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</si>
  <si>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</si>
  <si>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</si>
  <si>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</si>
  <si>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</si>
  <si>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</si>
  <si>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</si>
  <si>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</si>
  <si>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</si>
  <si>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</si>
  <si>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</si>
  <si>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</si>
  <si>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</si>
  <si>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</si>
  <si>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</si>
  <si>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</si>
  <si>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</si>
  <si>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</si>
  <si>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</si>
  <si>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</si>
  <si>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</si>
  <si>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</si>
  <si>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</si>
  <si>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</si>
  <si>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</si>
  <si>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</si>
  <si>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</si>
  <si>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</si>
  <si>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</si>
  <si>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</si>
  <si>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</si>
  <si>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</si>
  <si>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</si>
  <si>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</si>
  <si>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</si>
  <si>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</si>
  <si>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</si>
  <si>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</si>
  <si>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</si>
  <si>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</si>
  <si>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</si>
  <si>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</si>
  <si>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</si>
  <si>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</si>
  <si>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</si>
  <si>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</si>
  <si>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</si>
  <si>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</si>
  <si>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</si>
  <si>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</si>
  <si>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</si>
  <si>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</si>
  <si>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</si>
  <si>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</si>
  <si>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</si>
  <si>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</si>
  <si>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</si>
  <si>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</si>
  <si>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</si>
  <si>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</si>
  <si>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</si>
  <si>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</si>
  <si>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</si>
  <si>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</si>
  <si>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</si>
  <si>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</si>
  <si>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</si>
  <si>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</si>
  <si>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</si>
  <si>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</si>
  <si>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</si>
  <si>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</si>
  <si>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</si>
  <si>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</si>
  <si>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</si>
  <si>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</si>
  <si>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</si>
  <si>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</si>
  <si>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</si>
  <si>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</si>
  <si>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</si>
  <si>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</si>
  <si>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</si>
  <si>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</si>
  <si>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</si>
  <si>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</si>
  <si>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</si>
  <si>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</si>
  <si>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</si>
  <si>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</si>
  <si>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</si>
  <si>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</si>
  <si>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</si>
  <si>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</si>
  <si>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</si>
  <si>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</si>
  <si>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</si>
  <si>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</si>
  <si>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</si>
  <si>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</si>
  <si>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</si>
  <si>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</si>
  <si>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</si>
  <si>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</si>
  <si>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</si>
  <si>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</si>
  <si>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</si>
  <si>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</si>
  <si>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</si>
  <si>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</si>
  <si>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</si>
  <si>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</si>
  <si>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</si>
  <si>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</si>
  <si>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</si>
  <si>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</si>
  <si>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</si>
  <si>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</si>
  <si>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</si>
  <si>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</si>
  <si>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</si>
  <si>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</si>
  <si>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</si>
  <si>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</si>
  <si>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</si>
  <si>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</si>
  <si>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</si>
  <si>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</si>
  <si>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</si>
  <si>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</si>
  <si>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</si>
  <si>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</si>
  <si>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</si>
  <si>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</si>
  <si>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</si>
  <si>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</si>
  <si>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</si>
  <si>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</si>
  <si>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</si>
  <si>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</si>
  <si>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</si>
  <si>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</si>
  <si>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</si>
  <si>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</si>
  <si>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</si>
  <si>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</si>
  <si>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</si>
  <si>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</si>
  <si>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</si>
  <si>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</si>
  <si>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</si>
  <si>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</si>
  <si>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</si>
  <si>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</si>
  <si>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</si>
  <si>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</si>
  <si>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</si>
  <si>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</si>
  <si>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</si>
  <si>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</si>
  <si>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</si>
  <si>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</si>
  <si>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</si>
  <si>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</si>
  <si>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</si>
  <si>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</si>
  <si>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</si>
  <si>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</si>
  <si>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</si>
  <si>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</si>
  <si>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</si>
  <si>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</si>
  <si>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</si>
  <si>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</si>
  <si>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</si>
  <si>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</si>
  <si>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</si>
  <si>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</si>
  <si>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</si>
  <si>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</si>
  <si>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</si>
  <si>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</si>
  <si>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</si>
  <si>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</si>
  <si>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</si>
  <si>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</si>
  <si>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</si>
  <si>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</si>
  <si>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</si>
  <si>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</si>
  <si>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</si>
  <si>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</si>
  <si>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</si>
  <si>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</si>
  <si>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</si>
  <si>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</si>
  <si>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</si>
  <si>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</si>
  <si>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</si>
  <si>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</si>
  <si>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</si>
  <si>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</si>
  <si>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</si>
  <si>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</si>
  <si>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</si>
  <si>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</si>
  <si>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SUPERSOLIDARIA</t>
  </si>
  <si>
    <t>Permanente</t>
  </si>
  <si>
    <t>Anual</t>
  </si>
  <si>
    <t>PLES-1</t>
  </si>
  <si>
    <t>PLES-2</t>
  </si>
  <si>
    <t xml:space="preserve"> el desconocimiento de dichos requisitos por parte del talento humano responsable en la entidad</t>
  </si>
  <si>
    <t>Profesional Universitario Especializado – Grado 15</t>
  </si>
  <si>
    <t>PLES</t>
  </si>
  <si>
    <t>Planeación Estratégica</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</si>
  <si>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 Los riesgos PLES-5 y PLES-6 fueron remplazdos por los 3 que se dejaron en la matriz en linea con el alcance del proceso</t>
  </si>
  <si>
    <t>PLES-4</t>
  </si>
  <si>
    <t xml:space="preserve"> falta de coordinación y liderazgo interno relacionado con el tema de innovación
</t>
  </si>
  <si>
    <t xml:space="preserve">  la inexistencia de una politica actualizada que se ajuste  a las necesidades  de la entidad y el sector</t>
  </si>
  <si>
    <t>La jefa de la Oficina Asesora de Planeación y Sistemas</t>
  </si>
  <si>
    <t>Verifica la ejecución de los ejes de acción establecidos en la política de gestión del conocimiento y la innovación</t>
  </si>
  <si>
    <t>de manera trimestral.En caso de desviaciones se emitirán las alertas respectivas al comité de gestión y desempeño. Como evidencia se dejará la matriz de cumplimiento del plan de trabajo</t>
  </si>
  <si>
    <t xml:space="preserve">la toma de decisiones de la alta dirección con información de seguimiento inexacta o no validada del Plan Estratégico Institucional y del Plan de Acción, </t>
  </si>
  <si>
    <t xml:space="preserve"> la desarticulación a causa de la aprobación del Plan de Acción</t>
  </si>
  <si>
    <t>PLES-5</t>
  </si>
  <si>
    <t xml:space="preserve">el rezago en la ejecución de los proyectos de inversión </t>
  </si>
  <si>
    <t xml:space="preserve"> de la omisión en la verificación técnica de los reportes presentados por las dependencias.</t>
  </si>
  <si>
    <t xml:space="preserve">  de no integración de las metas establecidas en el Plan Estratégico Institucional y las actividades de los planes del Decreto 612 de 2018</t>
  </si>
  <si>
    <t>Como evidencia, de manera mensual, deberá archivar las fichas de seguimiento elaboradas y los correos electrónicos mediante los cuales se comunican los resultados, alertamientos y recomendaciones.</t>
  </si>
  <si>
    <t>Se eliminó el riesgo y el control PLES-3 y se agregó el riesgo PLES-5</t>
  </si>
  <si>
    <t>Como evidencia, de manera trimestral (al 30 de abril, julio, octubre, enero) deberá conservar la matriz de seguimiento utilizada para la verificación y consolidación de la información, junto con los soportes de las observaciones y recomendaciones y las certificaciones expedidas por la Secretaría Técnica del Comité Institucional de Gestión y Desempeño.</t>
  </si>
  <si>
    <t>El Profesional Especializado</t>
  </si>
  <si>
    <t>Como evidencia, de manera semestral, se deberá archivar el documento de observaciones producto de la revisión, de acuerdo con el cronograma de formulación o modificación del Plan de Acción.</t>
  </si>
  <si>
    <t>contrasta los soportes documentales entregados por las dependencias con las cifras reportadas en los instrumentos de seguimiento, verifica la consistencia de la información y la exactitud de los cálculos y, cuando identifica inconsistencias aritméticas o documentales, realiza las observaciones y devoluciones correspondientes, de acuerdo con los procedimientos establecidos para el seguimiento del Plan Estratégico Institucional y del Plan de Acción, previo a la consolidación de la información que será presentada al Comité Institucional de Gestión y Desempeño</t>
  </si>
  <si>
    <t xml:space="preserve">revisa el Plan de Acción formulado por los líderes de proceso y verifica la alineación de las actividades que correspondan con el Plan Estratégico Institucional y la articulación con los planes del Decreto 612 de 2018, así como la identificación de las actividades de gestión que, por su naturaleza, no presentan alineación, de conformidad con lo establecido en los procedimientosde planeación. </t>
  </si>
  <si>
    <t xml:space="preserve">realiza el seguimiento a la ejecución física y financiera de los proyectos de inversión, mediante la extracción, consolidación y análisis de la información reportada por las dependencias responsables, contrastando los avances registrados frente a la programación presupuestal y las metas físicas establecidas. Como resultado del seguimiento, identifica situaciones que puedan afectar el cumplimiento de las metas y, cuando corresponde, genera los respectivos alertamientos y recomendaciones, los cuales son comunicados a las dependencias responsables mediante las fichas de seguimiento y correo electrónico, para su conocimiento y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</si>
</sst>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9">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164" fontId="14" fillId="0" borderId="1" xfId="0" applyNumberFormat="1" applyFont="1" applyBorder="1" applyAlignment="1" applyProtection="1">
      <alignment horizontal="right" vertical="center" wrapText="1"/>
      <protection locked="0"/>
    </xf>
    <xf numFmtId="164" fontId="14" fillId="0" borderId="1" xfId="0" applyNumberFormat="1" applyFont="1" applyBorder="1" applyAlignment="1" applyProtection="1">
      <alignment horizontal="right"/>
      <protection locked="0"/>
    </xf>
    <xf numFmtId="0" fontId="6" fillId="0" borderId="3" xfId="2" applyFont="1" applyBorder="1" applyAlignment="1">
      <alignment horizontal="center" vertical="center" wrapText="1"/>
    </xf>
    <xf numFmtId="9" fontId="22" fillId="0" borderId="4" xfId="0" applyNumberFormat="1" applyFont="1" applyBorder="1" applyAlignment="1">
      <alignment horizontal="center" vertical="center" wrapText="1"/>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5" fillId="0" borderId="5" xfId="2" applyFont="1" applyBorder="1" applyAlignment="1">
      <alignment horizontal="center" vertical="center" wrapText="1"/>
    </xf>
    <xf numFmtId="9" fontId="22" fillId="0" borderId="1" xfId="0" applyNumberFormat="1" applyFont="1" applyBorder="1" applyAlignment="1">
      <alignment horizontal="center" vertical="center" wrapText="1"/>
    </xf>
    <xf numFmtId="0" fontId="5" fillId="0" borderId="10" xfId="2" applyFont="1" applyBorder="1" applyAlignment="1">
      <alignment horizontal="center"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9" fontId="24" fillId="0" borderId="1" xfId="0" applyNumberFormat="1" applyFont="1" applyBorder="1" applyAlignment="1">
      <alignment horizontal="center" vertical="center" wrapText="1"/>
    </xf>
    <xf numFmtId="0" fontId="3" fillId="2" borderId="0" xfId="2" applyFont="1" applyFill="1" applyAlignment="1">
      <alignment wrapText="1"/>
    </xf>
    <xf numFmtId="9" fontId="9" fillId="0" borderId="0" xfId="2" applyNumberFormat="1" applyFont="1" applyAlignment="1">
      <alignment vertical="center" wrapText="1"/>
    </xf>
    <xf numFmtId="49" fontId="9" fillId="0" borderId="0" xfId="2" applyNumberFormat="1" applyFont="1" applyAlignment="1">
      <alignment vertical="center" wrapText="1"/>
    </xf>
    <xf numFmtId="9" fontId="7" fillId="0" borderId="0" xfId="2" applyNumberFormat="1" applyFont="1" applyAlignment="1">
      <alignment vertical="center" wrapText="1"/>
    </xf>
    <xf numFmtId="0" fontId="7" fillId="0" borderId="0" xfId="2" applyFont="1" applyAlignment="1">
      <alignment vertical="center" wrapText="1"/>
    </xf>
    <xf numFmtId="9" fontId="47" fillId="0" borderId="0" xfId="2" applyNumberFormat="1" applyFont="1" applyAlignment="1">
      <alignment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1"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3" fillId="2" borderId="1" xfId="2" applyFont="1" applyFill="1" applyBorder="1" applyAlignment="1">
      <alignment horizont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1" xfId="2" applyFont="1" applyBorder="1" applyAlignment="1">
      <alignment horizontal="center" vertical="center" wrapText="1"/>
    </xf>
    <xf numFmtId="0" fontId="6" fillId="0" borderId="79" xfId="2" applyFont="1" applyBorder="1" applyAlignment="1">
      <alignment horizontal="center" vertical="center" wrapText="1"/>
    </xf>
    <xf numFmtId="0" fontId="6" fillId="0" borderId="80" xfId="2" applyFont="1" applyBorder="1" applyAlignment="1">
      <alignment horizontal="center" vertical="center" wrapText="1"/>
    </xf>
    <xf numFmtId="0" fontId="6" fillId="0" borderId="7" xfId="2" applyFont="1" applyBorder="1" applyAlignment="1">
      <alignment horizontal="left" vertical="center" wrapText="1"/>
    </xf>
    <xf numFmtId="0" fontId="6" fillId="0" borderId="78" xfId="2" applyFont="1" applyBorder="1" applyAlignment="1">
      <alignment horizontal="left" vertical="center" wrapText="1"/>
    </xf>
    <xf numFmtId="9" fontId="22" fillId="0" borderId="7" xfId="0" applyNumberFormat="1" applyFont="1" applyBorder="1" applyAlignment="1">
      <alignment horizontal="center" vertical="center" wrapText="1"/>
    </xf>
    <xf numFmtId="9" fontId="22" fillId="0" borderId="78"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40"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7" xfId="0" applyNumberFormat="1" applyFont="1" applyBorder="1" applyAlignment="1">
      <alignment horizontal="center" vertical="center" wrapText="1"/>
    </xf>
    <xf numFmtId="9" fontId="24" fillId="0" borderId="78"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7">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128</xdr:row>
      <xdr:rowOff>0</xdr:rowOff>
    </xdr:from>
    <xdr:to>
      <xdr:col>4</xdr:col>
      <xdr:colOff>90438</xdr:colOff>
      <xdr:row>138</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447862</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128</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128</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128</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128</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128</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128</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128</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21</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25</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20</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25</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25</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25</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27</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31</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26</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31</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31</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31</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37</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32</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37</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37</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37</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37</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37</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41</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43</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38</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43</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43</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43</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43</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43</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45</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49</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44</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49</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49</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49</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49</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49</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51</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55</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50</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55</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55</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55</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55</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55</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57</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61</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56</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61</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61</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61</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61</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61</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63</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67</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62</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67</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67</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67</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67</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67</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73</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68</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73</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73</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73</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73</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73</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75</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79</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74</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79</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79</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79</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79</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79</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81</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85</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80</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85</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85</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85</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85</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85</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87</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91</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86</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91</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91</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91</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91</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91</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93</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97</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92</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97</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97</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97</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97</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97</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99</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103</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98</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103</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103</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103</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103</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103</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103</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109</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104</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109</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109</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109</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109</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109</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113</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115</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110</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115</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115</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115</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115</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115</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121</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116</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121</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121</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121</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121</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121</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121</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125</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127</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122</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127</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127</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21</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23</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25</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27</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37</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45</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49</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51</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55</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57</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61</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63</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67</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69</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73</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75</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77</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79</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81</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85</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87</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91</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93</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97</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99</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105</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109</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111</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113</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115</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117</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121</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123</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125</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39</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41</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43</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504825</xdr:rowOff>
    </xdr:from>
    <xdr:ext cx="95250" cy="444014"/>
    <xdr:sp macro="" textlink="">
      <xdr:nvSpPr>
        <xdr:cNvPr id="4592" name="Text Box 15">
          <a:extLst>
            <a:ext uri="{FF2B5EF4-FFF2-40B4-BE49-F238E27FC236}">
              <a16:creationId xmlns:a16="http://schemas.microsoft.com/office/drawing/2014/main" id="{A95664B7-5F80-4213-ABBD-DEA059E96FE5}"/>
            </a:ext>
          </a:extLst>
        </xdr:cNvPr>
        <xdr:cNvSpPr txBox="1">
          <a:spLocks noChangeArrowheads="1"/>
        </xdr:cNvSpPr>
      </xdr:nvSpPr>
      <xdr:spPr bwMode="auto">
        <a:xfrm>
          <a:off x="5728607" y="620485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504825</xdr:rowOff>
    </xdr:from>
    <xdr:ext cx="95250" cy="442269"/>
    <xdr:sp macro="" textlink="">
      <xdr:nvSpPr>
        <xdr:cNvPr id="4713" name="Text Box 15">
          <a:extLst>
            <a:ext uri="{FF2B5EF4-FFF2-40B4-BE49-F238E27FC236}">
              <a16:creationId xmlns:a16="http://schemas.microsoft.com/office/drawing/2014/main" id="{63BAFFD6-F94A-4EE5-8BBC-4307F018173E}"/>
            </a:ext>
          </a:extLst>
        </xdr:cNvPr>
        <xdr:cNvSpPr txBox="1">
          <a:spLocks noChangeArrowheads="1"/>
        </xdr:cNvSpPr>
      </xdr:nvSpPr>
      <xdr:spPr bwMode="auto">
        <a:xfrm>
          <a:off x="15261771" y="6204857"/>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8496"/>
    <xdr:sp macro="" textlink="">
      <xdr:nvSpPr>
        <xdr:cNvPr id="4714" name="Text Box 15">
          <a:extLst>
            <a:ext uri="{FF2B5EF4-FFF2-40B4-BE49-F238E27FC236}">
              <a16:creationId xmlns:a16="http://schemas.microsoft.com/office/drawing/2014/main" id="{D7C01146-1E9F-4AB8-95D4-D07B7FA5AC6E}"/>
            </a:ext>
          </a:extLst>
        </xdr:cNvPr>
        <xdr:cNvSpPr txBox="1">
          <a:spLocks noChangeArrowheads="1"/>
        </xdr:cNvSpPr>
      </xdr:nvSpPr>
      <xdr:spPr bwMode="auto">
        <a:xfrm>
          <a:off x="5728607" y="6204857"/>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xdr:row>
      <xdr:rowOff>504825</xdr:rowOff>
    </xdr:from>
    <xdr:ext cx="95250" cy="442269"/>
    <xdr:sp macro="" textlink="">
      <xdr:nvSpPr>
        <xdr:cNvPr id="4715" name="Text Box 15">
          <a:extLst>
            <a:ext uri="{FF2B5EF4-FFF2-40B4-BE49-F238E27FC236}">
              <a16:creationId xmlns:a16="http://schemas.microsoft.com/office/drawing/2014/main" id="{6912F2BE-7451-4FE1-9D15-77DEB30E57E0}"/>
            </a:ext>
          </a:extLst>
        </xdr:cNvPr>
        <xdr:cNvSpPr txBox="1">
          <a:spLocks noChangeArrowheads="1"/>
        </xdr:cNvSpPr>
      </xdr:nvSpPr>
      <xdr:spPr bwMode="auto">
        <a:xfrm>
          <a:off x="15261771" y="6204857"/>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4716" name="Text Box 15">
          <a:extLst>
            <a:ext uri="{FF2B5EF4-FFF2-40B4-BE49-F238E27FC236}">
              <a16:creationId xmlns:a16="http://schemas.microsoft.com/office/drawing/2014/main" id="{8B394B62-1DC6-4C5B-B5AB-F82BACE9FA46}"/>
            </a:ext>
          </a:extLst>
        </xdr:cNvPr>
        <xdr:cNvSpPr txBox="1">
          <a:spLocks noChangeArrowheads="1"/>
        </xdr:cNvSpPr>
      </xdr:nvSpPr>
      <xdr:spPr bwMode="auto">
        <a:xfrm>
          <a:off x="5728607" y="6204857"/>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504825</xdr:rowOff>
    </xdr:from>
    <xdr:ext cx="95250" cy="444014"/>
    <xdr:sp macro="" textlink="">
      <xdr:nvSpPr>
        <xdr:cNvPr id="4717" name="Text Box 15">
          <a:extLst>
            <a:ext uri="{FF2B5EF4-FFF2-40B4-BE49-F238E27FC236}">
              <a16:creationId xmlns:a16="http://schemas.microsoft.com/office/drawing/2014/main" id="{D51EEFDC-5F74-4BC5-914D-EEA2962D5746}"/>
            </a:ext>
          </a:extLst>
        </xdr:cNvPr>
        <xdr:cNvSpPr txBox="1">
          <a:spLocks noChangeArrowheads="1"/>
        </xdr:cNvSpPr>
      </xdr:nvSpPr>
      <xdr:spPr bwMode="auto">
        <a:xfrm>
          <a:off x="5728607" y="620485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56743"/>
    <xdr:sp macro="" textlink="">
      <xdr:nvSpPr>
        <xdr:cNvPr id="4718" name="Text Box 15">
          <a:extLst>
            <a:ext uri="{FF2B5EF4-FFF2-40B4-BE49-F238E27FC236}">
              <a16:creationId xmlns:a16="http://schemas.microsoft.com/office/drawing/2014/main" id="{FF58B6DD-4792-446C-915A-B27B5294D004}"/>
            </a:ext>
          </a:extLst>
        </xdr:cNvPr>
        <xdr:cNvSpPr txBox="1">
          <a:spLocks noChangeArrowheads="1"/>
        </xdr:cNvSpPr>
      </xdr:nvSpPr>
      <xdr:spPr bwMode="auto">
        <a:xfrm>
          <a:off x="5728607" y="6204857"/>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xdr:row>
      <xdr:rowOff>504825</xdr:rowOff>
    </xdr:from>
    <xdr:ext cx="95250" cy="442269"/>
    <xdr:sp macro="" textlink="">
      <xdr:nvSpPr>
        <xdr:cNvPr id="4719" name="Text Box 15">
          <a:extLst>
            <a:ext uri="{FF2B5EF4-FFF2-40B4-BE49-F238E27FC236}">
              <a16:creationId xmlns:a16="http://schemas.microsoft.com/office/drawing/2014/main" id="{FF91E7EC-B989-4928-B2F3-615EEDCC36E3}"/>
            </a:ext>
          </a:extLst>
        </xdr:cNvPr>
        <xdr:cNvSpPr txBox="1">
          <a:spLocks noChangeArrowheads="1"/>
        </xdr:cNvSpPr>
      </xdr:nvSpPr>
      <xdr:spPr bwMode="auto">
        <a:xfrm>
          <a:off x="15261771" y="6204857"/>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331"/>
    <xdr:sp macro="" textlink="">
      <xdr:nvSpPr>
        <xdr:cNvPr id="4720" name="Text Box 15">
          <a:extLst>
            <a:ext uri="{FF2B5EF4-FFF2-40B4-BE49-F238E27FC236}">
              <a16:creationId xmlns:a16="http://schemas.microsoft.com/office/drawing/2014/main" id="{0645BEFD-53A6-4EA5-9213-1B8D29E73A61}"/>
            </a:ext>
          </a:extLst>
        </xdr:cNvPr>
        <xdr:cNvSpPr txBox="1">
          <a:spLocks noChangeArrowheads="1"/>
        </xdr:cNvSpPr>
      </xdr:nvSpPr>
      <xdr:spPr bwMode="auto">
        <a:xfrm>
          <a:off x="5728607" y="6204857"/>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21" name="Text Box 16">
          <a:extLst>
            <a:ext uri="{FF2B5EF4-FFF2-40B4-BE49-F238E27FC236}">
              <a16:creationId xmlns:a16="http://schemas.microsoft.com/office/drawing/2014/main" id="{AF5AD0FF-3493-40DC-876F-9C43D93758E8}"/>
            </a:ext>
          </a:extLst>
        </xdr:cNvPr>
        <xdr:cNvSpPr txBox="1">
          <a:spLocks noChangeArrowheads="1"/>
        </xdr:cNvSpPr>
      </xdr:nvSpPr>
      <xdr:spPr bwMode="auto">
        <a:xfrm>
          <a:off x="26343429" y="6572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22" name="Text Box 17">
          <a:extLst>
            <a:ext uri="{FF2B5EF4-FFF2-40B4-BE49-F238E27FC236}">
              <a16:creationId xmlns:a16="http://schemas.microsoft.com/office/drawing/2014/main" id="{FF784E0C-3374-4526-BE36-8E6E3E821470}"/>
            </a:ext>
          </a:extLst>
        </xdr:cNvPr>
        <xdr:cNvSpPr txBox="1">
          <a:spLocks noChangeArrowheads="1"/>
        </xdr:cNvSpPr>
      </xdr:nvSpPr>
      <xdr:spPr bwMode="auto">
        <a:xfrm>
          <a:off x="26343429" y="6572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23" name="Text Box 18">
          <a:extLst>
            <a:ext uri="{FF2B5EF4-FFF2-40B4-BE49-F238E27FC236}">
              <a16:creationId xmlns:a16="http://schemas.microsoft.com/office/drawing/2014/main" id="{538657F7-BD71-4599-AD19-4A9D09A533C7}"/>
            </a:ext>
          </a:extLst>
        </xdr:cNvPr>
        <xdr:cNvSpPr txBox="1">
          <a:spLocks noChangeArrowheads="1"/>
        </xdr:cNvSpPr>
      </xdr:nvSpPr>
      <xdr:spPr bwMode="auto">
        <a:xfrm>
          <a:off x="26343429" y="6572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4724" name="Text Box 19">
          <a:extLst>
            <a:ext uri="{FF2B5EF4-FFF2-40B4-BE49-F238E27FC236}">
              <a16:creationId xmlns:a16="http://schemas.microsoft.com/office/drawing/2014/main" id="{70EDB405-5AD7-49EE-8DE3-40B77EE5EF70}"/>
            </a:ext>
          </a:extLst>
        </xdr:cNvPr>
        <xdr:cNvSpPr txBox="1">
          <a:spLocks noChangeArrowheads="1"/>
        </xdr:cNvSpPr>
      </xdr:nvSpPr>
      <xdr:spPr bwMode="auto">
        <a:xfrm>
          <a:off x="26343429" y="65722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67134"/>
    <xdr:sp macro="" textlink="">
      <xdr:nvSpPr>
        <xdr:cNvPr id="4725" name="Text Box 15">
          <a:extLst>
            <a:ext uri="{FF2B5EF4-FFF2-40B4-BE49-F238E27FC236}">
              <a16:creationId xmlns:a16="http://schemas.microsoft.com/office/drawing/2014/main" id="{A6AE6EFD-2E36-4E24-92A8-C7EC90430E8C}"/>
            </a:ext>
          </a:extLst>
        </xdr:cNvPr>
        <xdr:cNvSpPr txBox="1">
          <a:spLocks noChangeArrowheads="1"/>
        </xdr:cNvSpPr>
      </xdr:nvSpPr>
      <xdr:spPr bwMode="auto">
        <a:xfrm>
          <a:off x="5728607" y="6204857"/>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331"/>
    <xdr:sp macro="" textlink="">
      <xdr:nvSpPr>
        <xdr:cNvPr id="4726" name="Text Box 15">
          <a:extLst>
            <a:ext uri="{FF2B5EF4-FFF2-40B4-BE49-F238E27FC236}">
              <a16:creationId xmlns:a16="http://schemas.microsoft.com/office/drawing/2014/main" id="{42891C04-64C6-4112-9869-61BC4E7FAE88}"/>
            </a:ext>
          </a:extLst>
        </xdr:cNvPr>
        <xdr:cNvSpPr txBox="1">
          <a:spLocks noChangeArrowheads="1"/>
        </xdr:cNvSpPr>
      </xdr:nvSpPr>
      <xdr:spPr bwMode="auto">
        <a:xfrm>
          <a:off x="5728607" y="6204857"/>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4727" name="Text Box 15">
          <a:extLst>
            <a:ext uri="{FF2B5EF4-FFF2-40B4-BE49-F238E27FC236}">
              <a16:creationId xmlns:a16="http://schemas.microsoft.com/office/drawing/2014/main" id="{E0FFA708-1477-47E2-913A-9E2702582828}"/>
            </a:ext>
          </a:extLst>
        </xdr:cNvPr>
        <xdr:cNvSpPr txBox="1">
          <a:spLocks noChangeArrowheads="1"/>
        </xdr:cNvSpPr>
      </xdr:nvSpPr>
      <xdr:spPr bwMode="auto">
        <a:xfrm>
          <a:off x="5728607" y="620485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16</xdr:row>
      <xdr:rowOff>504825</xdr:rowOff>
    </xdr:from>
    <xdr:ext cx="95250" cy="444014"/>
    <xdr:sp macro="" textlink="">
      <xdr:nvSpPr>
        <xdr:cNvPr id="4728" name="Text Box 15">
          <a:extLst>
            <a:ext uri="{FF2B5EF4-FFF2-40B4-BE49-F238E27FC236}">
              <a16:creationId xmlns:a16="http://schemas.microsoft.com/office/drawing/2014/main" id="{03158DC8-1E84-4119-82BF-0B41B65DF871}"/>
            </a:ext>
          </a:extLst>
        </xdr:cNvPr>
        <xdr:cNvSpPr txBox="1">
          <a:spLocks noChangeArrowheads="1"/>
        </xdr:cNvSpPr>
      </xdr:nvSpPr>
      <xdr:spPr bwMode="auto">
        <a:xfrm>
          <a:off x="5728607" y="620485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29" name="Text Box 16">
          <a:extLst>
            <a:ext uri="{FF2B5EF4-FFF2-40B4-BE49-F238E27FC236}">
              <a16:creationId xmlns:a16="http://schemas.microsoft.com/office/drawing/2014/main" id="{68CEE638-90DB-4200-B010-A43276409758}"/>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0" name="Text Box 17">
          <a:extLst>
            <a:ext uri="{FF2B5EF4-FFF2-40B4-BE49-F238E27FC236}">
              <a16:creationId xmlns:a16="http://schemas.microsoft.com/office/drawing/2014/main" id="{8BE4E4E2-3432-4893-8E30-A4D0660A8736}"/>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1" name="Text Box 18">
          <a:extLst>
            <a:ext uri="{FF2B5EF4-FFF2-40B4-BE49-F238E27FC236}">
              <a16:creationId xmlns:a16="http://schemas.microsoft.com/office/drawing/2014/main" id="{7807D8EF-C6FA-40F3-8931-9C238EA55938}"/>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2" name="Text Box 19">
          <a:extLst>
            <a:ext uri="{FF2B5EF4-FFF2-40B4-BE49-F238E27FC236}">
              <a16:creationId xmlns:a16="http://schemas.microsoft.com/office/drawing/2014/main" id="{812E1B90-9716-4135-993C-8DB420D1A71B}"/>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4733" name="Text Box 15">
          <a:extLst>
            <a:ext uri="{FF2B5EF4-FFF2-40B4-BE49-F238E27FC236}">
              <a16:creationId xmlns:a16="http://schemas.microsoft.com/office/drawing/2014/main" id="{257A891D-B0A2-452E-9E1C-E0BC8C69B77E}"/>
            </a:ext>
          </a:extLst>
        </xdr:cNvPr>
        <xdr:cNvSpPr txBox="1">
          <a:spLocks noChangeArrowheads="1"/>
        </xdr:cNvSpPr>
      </xdr:nvSpPr>
      <xdr:spPr bwMode="auto">
        <a:xfrm>
          <a:off x="14820900" y="62007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4" name="Text Box 16">
          <a:extLst>
            <a:ext uri="{FF2B5EF4-FFF2-40B4-BE49-F238E27FC236}">
              <a16:creationId xmlns:a16="http://schemas.microsoft.com/office/drawing/2014/main" id="{0B477863-4A9C-4310-B9E9-808E0AF2EE2D}"/>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5" name="Text Box 17">
          <a:extLst>
            <a:ext uri="{FF2B5EF4-FFF2-40B4-BE49-F238E27FC236}">
              <a16:creationId xmlns:a16="http://schemas.microsoft.com/office/drawing/2014/main" id="{55740EC6-F75A-465C-8ED5-E56F58CF3989}"/>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36" name="Text Box 18">
          <a:extLst>
            <a:ext uri="{FF2B5EF4-FFF2-40B4-BE49-F238E27FC236}">
              <a16:creationId xmlns:a16="http://schemas.microsoft.com/office/drawing/2014/main" id="{EFEB5036-01EC-480C-8708-6C3A201C661B}"/>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37" name="Text Box 16">
          <a:extLst>
            <a:ext uri="{FF2B5EF4-FFF2-40B4-BE49-F238E27FC236}">
              <a16:creationId xmlns:a16="http://schemas.microsoft.com/office/drawing/2014/main" id="{6554AEBB-0EA2-466A-A787-38DAC9738BB6}"/>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38" name="Text Box 17">
          <a:extLst>
            <a:ext uri="{FF2B5EF4-FFF2-40B4-BE49-F238E27FC236}">
              <a16:creationId xmlns:a16="http://schemas.microsoft.com/office/drawing/2014/main" id="{8DB1DE2D-E41D-46EE-96E0-F88709A5342C}"/>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39" name="Text Box 18">
          <a:extLst>
            <a:ext uri="{FF2B5EF4-FFF2-40B4-BE49-F238E27FC236}">
              <a16:creationId xmlns:a16="http://schemas.microsoft.com/office/drawing/2014/main" id="{15B8BB25-E400-43DA-89F1-C630E2339EED}"/>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40" name="Text Box 19">
          <a:extLst>
            <a:ext uri="{FF2B5EF4-FFF2-40B4-BE49-F238E27FC236}">
              <a16:creationId xmlns:a16="http://schemas.microsoft.com/office/drawing/2014/main" id="{18A1E23B-BF83-46C5-AF0F-3D7ECF91E653}"/>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41" name="Text Box 16">
          <a:extLst>
            <a:ext uri="{FF2B5EF4-FFF2-40B4-BE49-F238E27FC236}">
              <a16:creationId xmlns:a16="http://schemas.microsoft.com/office/drawing/2014/main" id="{B31E8FDD-383E-491D-9D36-A67CCBEFCD30}"/>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42" name="Text Box 17">
          <a:extLst>
            <a:ext uri="{FF2B5EF4-FFF2-40B4-BE49-F238E27FC236}">
              <a16:creationId xmlns:a16="http://schemas.microsoft.com/office/drawing/2014/main" id="{342A2FB0-FEF4-4D64-8CE6-915EADC69837}"/>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43" name="Text Box 18">
          <a:extLst>
            <a:ext uri="{FF2B5EF4-FFF2-40B4-BE49-F238E27FC236}">
              <a16:creationId xmlns:a16="http://schemas.microsoft.com/office/drawing/2014/main" id="{99762270-61E2-4F78-8942-8E1B626357E6}"/>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4744" name="Text Box 15">
          <a:extLst>
            <a:ext uri="{FF2B5EF4-FFF2-40B4-BE49-F238E27FC236}">
              <a16:creationId xmlns:a16="http://schemas.microsoft.com/office/drawing/2014/main" id="{C1C8A7B8-12D7-4656-A6B8-91A1F4E968C6}"/>
            </a:ext>
          </a:extLst>
        </xdr:cNvPr>
        <xdr:cNvSpPr txBox="1">
          <a:spLocks noChangeArrowheads="1"/>
        </xdr:cNvSpPr>
      </xdr:nvSpPr>
      <xdr:spPr bwMode="auto">
        <a:xfrm>
          <a:off x="14820900" y="62007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4745" name="Text Box 15">
          <a:extLst>
            <a:ext uri="{FF2B5EF4-FFF2-40B4-BE49-F238E27FC236}">
              <a16:creationId xmlns:a16="http://schemas.microsoft.com/office/drawing/2014/main" id="{9B4AB6AB-3E05-45C7-B418-9AC386D8F3B5}"/>
            </a:ext>
          </a:extLst>
        </xdr:cNvPr>
        <xdr:cNvSpPr txBox="1">
          <a:spLocks noChangeArrowheads="1"/>
        </xdr:cNvSpPr>
      </xdr:nvSpPr>
      <xdr:spPr bwMode="auto">
        <a:xfrm>
          <a:off x="14849475" y="6200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46" name="Text Box 16">
          <a:extLst>
            <a:ext uri="{FF2B5EF4-FFF2-40B4-BE49-F238E27FC236}">
              <a16:creationId xmlns:a16="http://schemas.microsoft.com/office/drawing/2014/main" id="{E6D4EFCC-AF93-4A32-A8C3-AB397BEFE2CE}"/>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47" name="Text Box 17">
          <a:extLst>
            <a:ext uri="{FF2B5EF4-FFF2-40B4-BE49-F238E27FC236}">
              <a16:creationId xmlns:a16="http://schemas.microsoft.com/office/drawing/2014/main" id="{D6317E43-9405-478F-9265-88283CE0CA6C}"/>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48" name="Text Box 18">
          <a:extLst>
            <a:ext uri="{FF2B5EF4-FFF2-40B4-BE49-F238E27FC236}">
              <a16:creationId xmlns:a16="http://schemas.microsoft.com/office/drawing/2014/main" id="{D86D16AD-88CF-4F02-AEF1-D1FE5451F18B}"/>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49" name="Text Box 19">
          <a:extLst>
            <a:ext uri="{FF2B5EF4-FFF2-40B4-BE49-F238E27FC236}">
              <a16:creationId xmlns:a16="http://schemas.microsoft.com/office/drawing/2014/main" id="{420724D5-D583-4139-BDA0-BA65BD3CA45C}"/>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50" name="Text Box 16">
          <a:extLst>
            <a:ext uri="{FF2B5EF4-FFF2-40B4-BE49-F238E27FC236}">
              <a16:creationId xmlns:a16="http://schemas.microsoft.com/office/drawing/2014/main" id="{D0EDC8CE-A10F-4223-8A17-B09BEC767681}"/>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4751" name="Text Box 17">
          <a:extLst>
            <a:ext uri="{FF2B5EF4-FFF2-40B4-BE49-F238E27FC236}">
              <a16:creationId xmlns:a16="http://schemas.microsoft.com/office/drawing/2014/main" id="{8309D8C3-D7D3-4267-9BBB-CE8D1063D939}"/>
            </a:ext>
          </a:extLst>
        </xdr:cNvPr>
        <xdr:cNvSpPr txBox="1">
          <a:spLocks noChangeArrowheads="1"/>
        </xdr:cNvSpPr>
      </xdr:nvSpPr>
      <xdr:spPr bwMode="auto">
        <a:xfrm>
          <a:off x="14820900"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4752" name="Text Box 18">
          <a:extLst>
            <a:ext uri="{FF2B5EF4-FFF2-40B4-BE49-F238E27FC236}">
              <a16:creationId xmlns:a16="http://schemas.microsoft.com/office/drawing/2014/main" id="{D687C4B5-891D-4C54-A96F-9E8711D4F0B5}"/>
            </a:ext>
          </a:extLst>
        </xdr:cNvPr>
        <xdr:cNvSpPr txBox="1">
          <a:spLocks noChangeArrowheads="1"/>
        </xdr:cNvSpPr>
      </xdr:nvSpPr>
      <xdr:spPr bwMode="auto">
        <a:xfrm>
          <a:off x="14812962"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53" name="Text Box 16">
          <a:extLst>
            <a:ext uri="{FF2B5EF4-FFF2-40B4-BE49-F238E27FC236}">
              <a16:creationId xmlns:a16="http://schemas.microsoft.com/office/drawing/2014/main" id="{4BF4029A-7D7A-49BD-9A31-EB9660874E1F}"/>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54" name="Text Box 17">
          <a:extLst>
            <a:ext uri="{FF2B5EF4-FFF2-40B4-BE49-F238E27FC236}">
              <a16:creationId xmlns:a16="http://schemas.microsoft.com/office/drawing/2014/main" id="{698D537F-7B2C-40E6-AFBB-428EF68EA786}"/>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55" name="Text Box 18">
          <a:extLst>
            <a:ext uri="{FF2B5EF4-FFF2-40B4-BE49-F238E27FC236}">
              <a16:creationId xmlns:a16="http://schemas.microsoft.com/office/drawing/2014/main" id="{33D164D2-C7D1-43FA-8FED-2E51E13DD5DA}"/>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56" name="Text Box 19">
          <a:extLst>
            <a:ext uri="{FF2B5EF4-FFF2-40B4-BE49-F238E27FC236}">
              <a16:creationId xmlns:a16="http://schemas.microsoft.com/office/drawing/2014/main" id="{0EC6BC2E-19B4-4BB6-8ACB-EDF991F6C675}"/>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4757" name="Text Box 16">
          <a:extLst>
            <a:ext uri="{FF2B5EF4-FFF2-40B4-BE49-F238E27FC236}">
              <a16:creationId xmlns:a16="http://schemas.microsoft.com/office/drawing/2014/main" id="{BA8DF706-F6EA-41EC-994A-32941058F361}"/>
            </a:ext>
          </a:extLst>
        </xdr:cNvPr>
        <xdr:cNvSpPr txBox="1">
          <a:spLocks noChangeArrowheads="1"/>
        </xdr:cNvSpPr>
      </xdr:nvSpPr>
      <xdr:spPr bwMode="auto">
        <a:xfrm>
          <a:off x="17726025" y="620077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4758" name="Text Box 15">
          <a:extLst>
            <a:ext uri="{FF2B5EF4-FFF2-40B4-BE49-F238E27FC236}">
              <a16:creationId xmlns:a16="http://schemas.microsoft.com/office/drawing/2014/main" id="{7EE642A3-DC2E-4F44-81C2-F333996A5A18}"/>
            </a:ext>
          </a:extLst>
        </xdr:cNvPr>
        <xdr:cNvSpPr txBox="1">
          <a:spLocks noChangeArrowheads="1"/>
        </xdr:cNvSpPr>
      </xdr:nvSpPr>
      <xdr:spPr bwMode="auto">
        <a:xfrm>
          <a:off x="14820900" y="62007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4759" name="Text Box 15">
          <a:extLst>
            <a:ext uri="{FF2B5EF4-FFF2-40B4-BE49-F238E27FC236}">
              <a16:creationId xmlns:a16="http://schemas.microsoft.com/office/drawing/2014/main" id="{4CA84F0C-67B1-4A8B-9056-5A4A07E37F92}"/>
            </a:ext>
          </a:extLst>
        </xdr:cNvPr>
        <xdr:cNvSpPr txBox="1">
          <a:spLocks noChangeArrowheads="1"/>
        </xdr:cNvSpPr>
      </xdr:nvSpPr>
      <xdr:spPr bwMode="auto">
        <a:xfrm>
          <a:off x="14820900" y="6200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xdr:row>
      <xdr:rowOff>504825</xdr:rowOff>
    </xdr:from>
    <xdr:ext cx="95250" cy="442269"/>
    <xdr:sp macro="" textlink="">
      <xdr:nvSpPr>
        <xdr:cNvPr id="4760" name="Text Box 15">
          <a:extLst>
            <a:ext uri="{FF2B5EF4-FFF2-40B4-BE49-F238E27FC236}">
              <a16:creationId xmlns:a16="http://schemas.microsoft.com/office/drawing/2014/main" id="{BD47AE9F-FE5B-49E1-B193-7BAEDD6A8BB0}"/>
            </a:ext>
          </a:extLst>
        </xdr:cNvPr>
        <xdr:cNvSpPr txBox="1">
          <a:spLocks noChangeArrowheads="1"/>
        </xdr:cNvSpPr>
      </xdr:nvSpPr>
      <xdr:spPr bwMode="auto">
        <a:xfrm>
          <a:off x="14820900" y="62007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17</xdr:row>
      <xdr:rowOff>504825</xdr:rowOff>
    </xdr:from>
    <xdr:ext cx="95250" cy="442269"/>
    <xdr:sp macro="" textlink="">
      <xdr:nvSpPr>
        <xdr:cNvPr id="4761" name="Text Box 15">
          <a:extLst>
            <a:ext uri="{FF2B5EF4-FFF2-40B4-BE49-F238E27FC236}">
              <a16:creationId xmlns:a16="http://schemas.microsoft.com/office/drawing/2014/main" id="{DA561415-8EC5-4B90-9997-82FCFA6FD6F5}"/>
            </a:ext>
          </a:extLst>
        </xdr:cNvPr>
        <xdr:cNvSpPr txBox="1">
          <a:spLocks noChangeArrowheads="1"/>
        </xdr:cNvSpPr>
      </xdr:nvSpPr>
      <xdr:spPr bwMode="auto">
        <a:xfrm>
          <a:off x="14820900" y="62007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157722</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1</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rodriguezp/Downloads/PLES_Mapa%20de%20riesgo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11 FORMULAS"/>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s>
    <sheetDataSet>
      <sheetData sheetId="0"/>
      <sheetData sheetId="1">
        <row r="51">
          <cell r="B51" t="str">
            <v>Preventivo</v>
          </cell>
          <cell r="C51">
            <v>0.25</v>
          </cell>
          <cell r="D51" t="str">
            <v>Probabilidad</v>
          </cell>
        </row>
        <row r="52">
          <cell r="B52" t="str">
            <v>Detectivo</v>
          </cell>
          <cell r="C52">
            <v>0.15</v>
          </cell>
          <cell r="D52" t="str">
            <v>Probabilidad</v>
          </cell>
        </row>
        <row r="53">
          <cell r="B53" t="str">
            <v>Correctivo</v>
          </cell>
          <cell r="C53">
            <v>0.1</v>
          </cell>
          <cell r="D53" t="str">
            <v>Impacto</v>
          </cell>
        </row>
        <row r="54">
          <cell r="B54" t="str">
            <v>Automático</v>
          </cell>
          <cell r="C54">
            <v>0.25</v>
          </cell>
        </row>
        <row r="55">
          <cell r="B55" t="str">
            <v>Manual</v>
          </cell>
          <cell r="C55">
            <v>0.15</v>
          </cell>
        </row>
      </sheetData>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6" dataDxfId="145">
  <autoFilter ref="A31:E35" xr:uid="{00000000-0009-0000-0100-000006000000}"/>
  <tableColumns count="5">
    <tableColumn id="1" xr3:uid="{00000000-0010-0000-0100-000001000000}" name="Gestión" dataDxfId="144"/>
    <tableColumn id="2" xr3:uid="{00000000-0010-0000-0100-000002000000}" name="Fiscal" dataDxfId="143"/>
    <tableColumn id="3" xr3:uid="{00000000-0010-0000-0100-000003000000}" name="Seguridad_Información" dataDxfId="142"/>
    <tableColumn id="4" xr3:uid="{00000000-0010-0000-0100-000004000000}" name="Integridad_Pública_Corrupción" dataDxfId="141"/>
    <tableColumn id="5" xr3:uid="{00000000-0010-0000-0100-000005000000}" name="Integridad_Pública_LA_FT_FP" dataDxfId="14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9" dataDxfId="138">
  <autoFilter ref="A38:F47" xr:uid="{00000000-0009-0000-0100-000002000000}"/>
  <tableColumns count="6">
    <tableColumn id="1" xr3:uid="{00000000-0010-0000-0200-000001000000}" name="Ejecución_administración_de_procesos" dataDxfId="137"/>
    <tableColumn id="2" xr3:uid="{00000000-0010-0000-0200-000002000000}" name="Transacción_u_Operación_aplica_para_LA_FT_FP" dataDxfId="136"/>
    <tableColumn id="3" xr3:uid="{00000000-0010-0000-0200-000003000000}" name="Talento_Humano" dataDxfId="135"/>
    <tableColumn id="4" xr3:uid="{00000000-0010-0000-0200-000004000000}" name="Tecnología" dataDxfId="134"/>
    <tableColumn id="5" xr3:uid="{00000000-0010-0000-0200-000005000000}" name="Infraestructura" dataDxfId="133"/>
    <tableColumn id="6" xr3:uid="{00000000-0010-0000-0200-000006000000}" name="Evento_externo" dataDxfId="132"/>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31" dataDxfId="130">
  <autoFilter ref="H37:I43" xr:uid="{00000000-0009-0000-0100-000003000000}"/>
  <tableColumns count="2">
    <tableColumn id="1" xr3:uid="{00000000-0010-0000-0300-000001000000}" name="FACTOR DE RIESGO" dataDxfId="129"/>
    <tableColumn id="2" xr3:uid="{00000000-0010-0000-0300-000002000000}" name="Descripción" dataDxfId="12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12" totalsRowShown="0" headerRowDxfId="127" tableBorderDxfId="126" headerRowCellStyle="Normal 2">
  <autoFilter ref="F8:K12" xr:uid="{00000000-0009-0000-0100-000001000000}"/>
  <tableColumns count="6">
    <tableColumn id="2" xr3:uid="{00000000-0010-0000-0000-000002000000}" name="TIPOLOGÍA" dataDxfId="125" dataCellStyle="Normal 2"/>
    <tableColumn id="3" xr3:uid="{00000000-0010-0000-0000-000003000000}" name="¿QUÉ? _x000a_IMPACTO" dataDxfId="124" dataCellStyle="Normal 2"/>
    <tableColumn id="4" xr3:uid="{00000000-0010-0000-0000-000004000000}" name="¿CÓMO?_x000a_CAUSA INMEDIATA _x000a_(Iniciar con la palabra _x000a_por)" dataDxfId="123" dataCellStyle="Normal 2"/>
    <tableColumn id="5" xr3:uid="{00000000-0010-0000-0000-000005000000}" name="¿PORQUÉ?_x000a_CAUSA RAÍZ_x000a_(Iniciar con _x000a_debido a/a causa de)" dataDxfId="122" dataCellStyle="Normal 2"/>
    <tableColumn id="6" xr3:uid="{00000000-0010-0000-0000-000006000000}" name="DESCRIPCIÓN DEL RIESGO" dataDxfId="121">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20" dataCellStyle="Normal 2"/>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5" zeroHeight="1" x14ac:dyDescent="0.25"/>
  <cols>
    <col min="1" max="1" width="2.85546875" style="257" customWidth="1"/>
    <col min="2" max="3" width="24.42578125" style="257" customWidth="1"/>
    <col min="4" max="4" width="16" style="257" customWidth="1"/>
    <col min="5" max="5" width="24.42578125" style="257" customWidth="1"/>
    <col min="6" max="6" width="27.42578125" style="257" customWidth="1"/>
    <col min="7" max="8" width="24.42578125" style="257" customWidth="1"/>
    <col min="9" max="9" width="4.28515625" style="257" customWidth="1"/>
    <col min="10" max="16384" width="11.42578125" style="257" hidden="1"/>
  </cols>
  <sheetData>
    <row r="1" spans="2:8" ht="15.75" thickBot="1" x14ac:dyDescent="0.3"/>
    <row r="2" spans="2:8" ht="18" x14ac:dyDescent="0.25">
      <c r="B2" s="411" t="s">
        <v>0</v>
      </c>
      <c r="C2" s="412"/>
      <c r="D2" s="412"/>
      <c r="E2" s="412"/>
      <c r="F2" s="412"/>
      <c r="G2" s="412"/>
      <c r="H2" s="413"/>
    </row>
    <row r="3" spans="2:8" x14ac:dyDescent="0.25">
      <c r="B3" s="258"/>
      <c r="C3" s="259"/>
      <c r="D3" s="259"/>
      <c r="E3" s="259"/>
      <c r="F3" s="259"/>
      <c r="G3" s="259"/>
      <c r="H3" s="260"/>
    </row>
    <row r="4" spans="2:8" ht="63" customHeight="1" x14ac:dyDescent="0.25">
      <c r="B4" s="414" t="s">
        <v>1</v>
      </c>
      <c r="C4" s="415"/>
      <c r="D4" s="415"/>
      <c r="E4" s="415"/>
      <c r="F4" s="415"/>
      <c r="G4" s="415"/>
      <c r="H4" s="416"/>
    </row>
    <row r="5" spans="2:8" ht="63" customHeight="1" x14ac:dyDescent="0.25">
      <c r="B5" s="417"/>
      <c r="C5" s="418"/>
      <c r="D5" s="418"/>
      <c r="E5" s="418"/>
      <c r="F5" s="418"/>
      <c r="G5" s="418"/>
      <c r="H5" s="419"/>
    </row>
    <row r="6" spans="2:8" ht="16.5" x14ac:dyDescent="0.25">
      <c r="B6" s="404" t="s">
        <v>2</v>
      </c>
      <c r="C6" s="420"/>
      <c r="D6" s="420"/>
      <c r="E6" s="420"/>
      <c r="F6" s="420"/>
      <c r="G6" s="420"/>
      <c r="H6" s="421"/>
    </row>
    <row r="7" spans="2:8" ht="95.25" customHeight="1" x14ac:dyDescent="0.25">
      <c r="B7" s="422" t="s">
        <v>3</v>
      </c>
      <c r="C7" s="423"/>
      <c r="D7" s="423"/>
      <c r="E7" s="423"/>
      <c r="F7" s="423"/>
      <c r="G7" s="423"/>
      <c r="H7" s="424"/>
    </row>
    <row r="8" spans="2:8" ht="16.5" x14ac:dyDescent="0.25">
      <c r="B8" s="237"/>
      <c r="C8" s="238"/>
      <c r="D8" s="238"/>
      <c r="E8" s="238"/>
      <c r="F8" s="238"/>
      <c r="G8" s="238"/>
      <c r="H8" s="239"/>
    </row>
    <row r="9" spans="2:8" ht="20.45" customHeight="1" x14ac:dyDescent="0.25">
      <c r="B9" s="426" t="s">
        <v>4</v>
      </c>
      <c r="C9" s="427"/>
      <c r="D9" s="427"/>
      <c r="E9" s="427"/>
      <c r="F9" s="427"/>
      <c r="G9" s="427"/>
      <c r="H9" s="428"/>
    </row>
    <row r="10" spans="2:8" ht="16.5" x14ac:dyDescent="0.25">
      <c r="B10" s="243"/>
      <c r="C10" s="244"/>
      <c r="D10" s="244"/>
      <c r="E10" s="244"/>
      <c r="F10" s="244"/>
      <c r="G10" s="244"/>
      <c r="H10" s="245"/>
    </row>
    <row r="11" spans="2:8" ht="20.45" customHeight="1" x14ac:dyDescent="0.25">
      <c r="B11" s="429" t="s">
        <v>5</v>
      </c>
      <c r="C11" s="430"/>
      <c r="D11" s="430"/>
      <c r="E11" s="430"/>
      <c r="F11" s="430"/>
      <c r="G11" s="430"/>
      <c r="H11" s="431"/>
    </row>
    <row r="12" spans="2:8" s="279" customFormat="1" ht="20.45" customHeight="1" x14ac:dyDescent="0.25">
      <c r="B12" s="370"/>
      <c r="C12" s="371"/>
      <c r="D12" s="371"/>
      <c r="E12" s="371"/>
      <c r="F12" s="371"/>
      <c r="G12" s="371"/>
      <c r="H12" s="372"/>
    </row>
    <row r="13" spans="2:8" ht="20.45" customHeight="1" x14ac:dyDescent="0.25">
      <c r="B13" s="404" t="s">
        <v>6</v>
      </c>
      <c r="C13" s="405"/>
      <c r="D13" s="405"/>
      <c r="E13" s="405"/>
      <c r="F13" s="405"/>
      <c r="G13" s="405"/>
      <c r="H13" s="406"/>
    </row>
    <row r="14" spans="2:8" ht="9" customHeight="1" x14ac:dyDescent="0.25">
      <c r="B14" s="404"/>
      <c r="C14" s="405"/>
      <c r="D14" s="405"/>
      <c r="E14" s="405"/>
      <c r="F14" s="405"/>
      <c r="G14" s="405"/>
      <c r="H14" s="406"/>
    </row>
    <row r="15" spans="2:8" ht="16.5" x14ac:dyDescent="0.25">
      <c r="B15" s="404" t="s">
        <v>7</v>
      </c>
      <c r="C15" s="405"/>
      <c r="D15" s="405"/>
      <c r="E15" s="405"/>
      <c r="F15" s="405"/>
      <c r="G15" s="405"/>
      <c r="H15" s="406"/>
    </row>
    <row r="16" spans="2:8" ht="16.5" x14ac:dyDescent="0.25">
      <c r="B16" s="240"/>
      <c r="C16" s="241"/>
      <c r="D16" s="241"/>
      <c r="E16" s="241"/>
      <c r="F16" s="241"/>
      <c r="G16" s="241"/>
      <c r="H16" s="242"/>
    </row>
    <row r="17" spans="2:8" ht="18.75" customHeight="1" x14ac:dyDescent="0.25">
      <c r="B17" s="404" t="s">
        <v>8</v>
      </c>
      <c r="C17" s="405"/>
      <c r="D17" s="405"/>
      <c r="E17" s="405"/>
      <c r="F17" s="405"/>
      <c r="G17" s="405"/>
      <c r="H17" s="406"/>
    </row>
    <row r="18" spans="2:8" ht="18.75" customHeight="1" x14ac:dyDescent="0.25">
      <c r="B18" s="240"/>
      <c r="C18" s="241"/>
      <c r="D18" s="241"/>
      <c r="E18" s="241"/>
      <c r="F18" s="241"/>
      <c r="G18" s="241"/>
      <c r="H18" s="242"/>
    </row>
    <row r="19" spans="2:8" ht="18.75" customHeight="1" x14ac:dyDescent="0.25">
      <c r="B19" s="404" t="s">
        <v>9</v>
      </c>
      <c r="C19" s="405"/>
      <c r="D19" s="405"/>
      <c r="E19" s="405"/>
      <c r="F19" s="405"/>
      <c r="G19" s="405"/>
      <c r="H19" s="406"/>
    </row>
    <row r="20" spans="2:8" ht="18.75" customHeight="1" thickBot="1" x14ac:dyDescent="0.3">
      <c r="B20" s="186"/>
      <c r="C20" s="246"/>
      <c r="D20" s="246"/>
      <c r="E20" s="246"/>
      <c r="F20" s="246"/>
      <c r="G20" s="246"/>
      <c r="H20" s="247"/>
    </row>
    <row r="21" spans="2:8" ht="15.75" thickTop="1" x14ac:dyDescent="0.25">
      <c r="B21" s="261"/>
      <c r="C21" s="396" t="s">
        <v>10</v>
      </c>
      <c r="D21" s="397"/>
      <c r="E21" s="398" t="s">
        <v>11</v>
      </c>
      <c r="F21" s="399"/>
      <c r="G21" s="266"/>
      <c r="H21" s="262"/>
    </row>
    <row r="22" spans="2:8" ht="35.25" customHeight="1" x14ac:dyDescent="0.25">
      <c r="B22" s="261"/>
      <c r="C22" s="400" t="s">
        <v>12</v>
      </c>
      <c r="D22" s="386"/>
      <c r="E22" s="387" t="s">
        <v>13</v>
      </c>
      <c r="F22" s="388"/>
      <c r="G22" s="266"/>
      <c r="H22" s="262"/>
    </row>
    <row r="23" spans="2:8" ht="17.25" customHeight="1" x14ac:dyDescent="0.25">
      <c r="B23" s="261"/>
      <c r="C23" s="400" t="s">
        <v>14</v>
      </c>
      <c r="D23" s="386"/>
      <c r="E23" s="387" t="s">
        <v>15</v>
      </c>
      <c r="F23" s="388"/>
      <c r="G23" s="266"/>
      <c r="H23" s="262"/>
    </row>
    <row r="24" spans="2:8" ht="69.75" customHeight="1" x14ac:dyDescent="0.25">
      <c r="B24" s="261"/>
      <c r="C24" s="400" t="s">
        <v>16</v>
      </c>
      <c r="D24" s="386"/>
      <c r="E24" s="387" t="s">
        <v>17</v>
      </c>
      <c r="F24" s="388"/>
      <c r="G24" s="266"/>
      <c r="H24" s="262"/>
    </row>
    <row r="25" spans="2:8" ht="69.75" customHeight="1" x14ac:dyDescent="0.25">
      <c r="B25" s="261"/>
      <c r="C25" s="400" t="s">
        <v>18</v>
      </c>
      <c r="D25" s="386"/>
      <c r="E25" s="387" t="s">
        <v>19</v>
      </c>
      <c r="F25" s="388"/>
      <c r="G25" s="266"/>
      <c r="H25" s="262"/>
    </row>
    <row r="26" spans="2:8" ht="69.75" customHeight="1" x14ac:dyDescent="0.25">
      <c r="B26" s="261"/>
      <c r="C26" s="400" t="s">
        <v>20</v>
      </c>
      <c r="D26" s="386"/>
      <c r="E26" s="387" t="s">
        <v>21</v>
      </c>
      <c r="F26" s="388"/>
      <c r="G26" s="266"/>
      <c r="H26" s="262"/>
    </row>
    <row r="27" spans="2:8" ht="69.75" customHeight="1" x14ac:dyDescent="0.25">
      <c r="B27" s="261"/>
      <c r="C27" s="392" t="s">
        <v>22</v>
      </c>
      <c r="D27" s="384"/>
      <c r="E27" s="377" t="s">
        <v>23</v>
      </c>
      <c r="F27" s="378"/>
      <c r="G27" s="266"/>
      <c r="H27" s="262"/>
    </row>
    <row r="28" spans="2:8" ht="69.75" customHeight="1" x14ac:dyDescent="0.25">
      <c r="B28" s="261"/>
      <c r="C28" s="392" t="s">
        <v>24</v>
      </c>
      <c r="D28" s="384"/>
      <c r="E28" s="377" t="s">
        <v>25</v>
      </c>
      <c r="F28" s="378"/>
      <c r="G28" s="266"/>
      <c r="H28" s="262"/>
    </row>
    <row r="29" spans="2:8" ht="69.75" customHeight="1" x14ac:dyDescent="0.25">
      <c r="B29" s="261"/>
      <c r="C29" s="392" t="s">
        <v>26</v>
      </c>
      <c r="D29" s="384"/>
      <c r="E29" s="377" t="s">
        <v>27</v>
      </c>
      <c r="F29" s="378"/>
      <c r="G29" s="266"/>
      <c r="H29" s="262"/>
    </row>
    <row r="30" spans="2:8" ht="111.75" customHeight="1" x14ac:dyDescent="0.25">
      <c r="B30" s="261"/>
      <c r="C30" s="392" t="s">
        <v>28</v>
      </c>
      <c r="D30" s="384"/>
      <c r="E30" s="377" t="s">
        <v>29</v>
      </c>
      <c r="F30" s="378"/>
      <c r="G30" s="266"/>
      <c r="H30" s="262"/>
    </row>
    <row r="31" spans="2:8" ht="121.5" customHeight="1" x14ac:dyDescent="0.25">
      <c r="B31" s="261"/>
      <c r="C31" s="392" t="s">
        <v>30</v>
      </c>
      <c r="D31" s="384"/>
      <c r="E31" s="377" t="s">
        <v>31</v>
      </c>
      <c r="F31" s="378"/>
      <c r="G31" s="266"/>
      <c r="H31" s="262"/>
    </row>
    <row r="32" spans="2:8" ht="86.25" customHeight="1" x14ac:dyDescent="0.25">
      <c r="B32" s="261"/>
      <c r="C32" s="392" t="s">
        <v>32</v>
      </c>
      <c r="D32" s="384"/>
      <c r="E32" s="377" t="s">
        <v>33</v>
      </c>
      <c r="F32" s="378"/>
      <c r="G32" s="266"/>
      <c r="H32" s="262"/>
    </row>
    <row r="33" spans="2:8" ht="69.75" customHeight="1" x14ac:dyDescent="0.25">
      <c r="B33" s="261"/>
      <c r="C33" s="392" t="s">
        <v>34</v>
      </c>
      <c r="D33" s="384"/>
      <c r="E33" s="377" t="s">
        <v>35</v>
      </c>
      <c r="F33" s="378"/>
      <c r="G33" s="266"/>
      <c r="H33" s="262"/>
    </row>
    <row r="34" spans="2:8" x14ac:dyDescent="0.25">
      <c r="B34" s="261"/>
      <c r="C34" s="251"/>
      <c r="D34" s="251"/>
      <c r="E34" s="252"/>
      <c r="F34" s="252"/>
      <c r="G34" s="266"/>
      <c r="H34" s="262"/>
    </row>
    <row r="35" spans="2:8" ht="16.5" x14ac:dyDescent="0.25">
      <c r="B35" s="404" t="s">
        <v>36</v>
      </c>
      <c r="C35" s="405"/>
      <c r="D35" s="405"/>
      <c r="E35" s="405"/>
      <c r="F35" s="405"/>
      <c r="G35" s="405"/>
      <c r="H35" s="406"/>
    </row>
    <row r="36" spans="2:8" ht="14.45" customHeight="1" thickBot="1" x14ac:dyDescent="0.3">
      <c r="B36" s="267"/>
      <c r="C36" s="256"/>
      <c r="D36" s="256"/>
      <c r="E36" s="256"/>
      <c r="F36" s="256"/>
      <c r="G36" s="256"/>
      <c r="H36" s="268"/>
    </row>
    <row r="37" spans="2:8" ht="14.45" customHeight="1" thickTop="1" x14ac:dyDescent="0.25">
      <c r="B37" s="267"/>
      <c r="C37" s="379" t="s">
        <v>10</v>
      </c>
      <c r="D37" s="380"/>
      <c r="E37" s="381" t="s">
        <v>11</v>
      </c>
      <c r="F37" s="382"/>
      <c r="G37" s="256"/>
      <c r="H37" s="268"/>
    </row>
    <row r="38" spans="2:8" ht="90" customHeight="1" x14ac:dyDescent="0.25">
      <c r="B38" s="267"/>
      <c r="C38" s="392" t="s">
        <v>37</v>
      </c>
      <c r="D38" s="384"/>
      <c r="E38" s="377" t="s">
        <v>38</v>
      </c>
      <c r="F38" s="378"/>
      <c r="G38" s="256"/>
      <c r="H38" s="268"/>
    </row>
    <row r="39" spans="2:8" ht="53.45" customHeight="1" x14ac:dyDescent="0.25">
      <c r="B39" s="267"/>
      <c r="C39" s="392" t="s">
        <v>39</v>
      </c>
      <c r="D39" s="384"/>
      <c r="E39" s="377" t="s">
        <v>40</v>
      </c>
      <c r="F39" s="378"/>
      <c r="G39" s="256"/>
      <c r="H39" s="268"/>
    </row>
    <row r="40" spans="2:8" ht="54" customHeight="1" x14ac:dyDescent="0.25">
      <c r="B40" s="267"/>
      <c r="C40" s="392" t="s">
        <v>41</v>
      </c>
      <c r="D40" s="384"/>
      <c r="E40" s="377" t="s">
        <v>42</v>
      </c>
      <c r="F40" s="378"/>
      <c r="G40" s="256"/>
      <c r="H40" s="268"/>
    </row>
    <row r="41" spans="2:8" ht="32.450000000000003" customHeight="1" x14ac:dyDescent="0.25">
      <c r="B41" s="267"/>
      <c r="C41" s="392" t="s">
        <v>43</v>
      </c>
      <c r="D41" s="384"/>
      <c r="E41" s="377" t="s">
        <v>44</v>
      </c>
      <c r="F41" s="378"/>
      <c r="G41" s="256"/>
      <c r="H41" s="268"/>
    </row>
    <row r="42" spans="2:8" ht="16.5" x14ac:dyDescent="0.25">
      <c r="B42" s="267"/>
      <c r="C42" s="256"/>
      <c r="D42" s="256"/>
      <c r="E42" s="256"/>
      <c r="F42" s="256"/>
      <c r="G42" s="256"/>
      <c r="H42" s="268"/>
    </row>
    <row r="43" spans="2:8" ht="18.75" customHeight="1" x14ac:dyDescent="0.25">
      <c r="B43" s="393" t="s">
        <v>45</v>
      </c>
      <c r="C43" s="394"/>
      <c r="D43" s="394"/>
      <c r="E43" s="394"/>
      <c r="F43" s="394"/>
      <c r="G43" s="394"/>
      <c r="H43" s="395"/>
    </row>
    <row r="44" spans="2:8" ht="18.75" customHeight="1" x14ac:dyDescent="0.25">
      <c r="B44" s="253"/>
      <c r="C44" s="254"/>
      <c r="D44" s="254"/>
      <c r="E44" s="254"/>
      <c r="F44" s="254"/>
      <c r="G44" s="254"/>
      <c r="H44" s="255"/>
    </row>
    <row r="45" spans="2:8" ht="18.75" customHeight="1" x14ac:dyDescent="0.25">
      <c r="B45" s="404" t="s">
        <v>46</v>
      </c>
      <c r="C45" s="405"/>
      <c r="D45" s="405"/>
      <c r="E45" s="405"/>
      <c r="F45" s="405"/>
      <c r="G45" s="405"/>
      <c r="H45" s="406"/>
    </row>
    <row r="46" spans="2:8" ht="18.75" customHeight="1" thickBot="1" x14ac:dyDescent="0.3">
      <c r="B46" s="186"/>
      <c r="C46" s="246"/>
      <c r="D46" s="246"/>
      <c r="E46" s="246"/>
      <c r="F46" s="246"/>
      <c r="G46" s="246"/>
      <c r="H46" s="247"/>
    </row>
    <row r="47" spans="2:8" ht="18.75" customHeight="1" thickTop="1" x14ac:dyDescent="0.25">
      <c r="B47" s="186"/>
      <c r="C47" s="379" t="s">
        <v>10</v>
      </c>
      <c r="D47" s="380"/>
      <c r="E47" s="381" t="s">
        <v>11</v>
      </c>
      <c r="F47" s="382"/>
      <c r="G47" s="246"/>
      <c r="H47" s="247"/>
    </row>
    <row r="48" spans="2:8" ht="53.25" customHeight="1" x14ac:dyDescent="0.25">
      <c r="B48" s="186"/>
      <c r="C48" s="383" t="s">
        <v>47</v>
      </c>
      <c r="D48" s="376"/>
      <c r="E48" s="377" t="s">
        <v>48</v>
      </c>
      <c r="F48" s="378"/>
      <c r="G48" s="246"/>
      <c r="H48" s="247"/>
    </row>
    <row r="49" spans="2:8" ht="54" customHeight="1" x14ac:dyDescent="0.25">
      <c r="B49" s="186"/>
      <c r="C49" s="383" t="s">
        <v>49</v>
      </c>
      <c r="D49" s="376"/>
      <c r="E49" s="377" t="s">
        <v>50</v>
      </c>
      <c r="F49" s="378"/>
      <c r="G49" s="246"/>
      <c r="H49" s="247"/>
    </row>
    <row r="50" spans="2:8" ht="51.95" customHeight="1" x14ac:dyDescent="0.25">
      <c r="B50" s="186"/>
      <c r="C50" s="383" t="s">
        <v>51</v>
      </c>
      <c r="D50" s="376"/>
      <c r="E50" s="377" t="s">
        <v>52</v>
      </c>
      <c r="F50" s="378"/>
      <c r="G50" s="246"/>
      <c r="H50" s="247"/>
    </row>
    <row r="51" spans="2:8" ht="53.45" customHeight="1" x14ac:dyDescent="0.25">
      <c r="B51" s="186"/>
      <c r="C51" s="383" t="s">
        <v>53</v>
      </c>
      <c r="D51" s="376"/>
      <c r="E51" s="377" t="s">
        <v>52</v>
      </c>
      <c r="F51" s="378"/>
      <c r="G51" s="246"/>
      <c r="H51" s="247"/>
    </row>
    <row r="52" spans="2:8" ht="48.75" customHeight="1" x14ac:dyDescent="0.25">
      <c r="B52" s="186"/>
      <c r="C52" s="383" t="s">
        <v>54</v>
      </c>
      <c r="D52" s="376"/>
      <c r="E52" s="377" t="s">
        <v>55</v>
      </c>
      <c r="F52" s="378"/>
      <c r="G52" s="246"/>
      <c r="H52" s="247"/>
    </row>
    <row r="53" spans="2:8" ht="49.5" customHeight="1" x14ac:dyDescent="0.25">
      <c r="B53" s="186"/>
      <c r="C53" s="383" t="s">
        <v>56</v>
      </c>
      <c r="D53" s="376"/>
      <c r="E53" s="377" t="s">
        <v>57</v>
      </c>
      <c r="F53" s="378"/>
      <c r="G53" s="246"/>
      <c r="H53" s="247"/>
    </row>
    <row r="54" spans="2:8" ht="50.25" customHeight="1" x14ac:dyDescent="0.25">
      <c r="B54" s="186"/>
      <c r="C54" s="383" t="s">
        <v>58</v>
      </c>
      <c r="D54" s="376"/>
      <c r="E54" s="377" t="s">
        <v>59</v>
      </c>
      <c r="F54" s="378"/>
      <c r="G54" s="246"/>
      <c r="H54" s="247"/>
    </row>
    <row r="55" spans="2:8" ht="29.45" customHeight="1" x14ac:dyDescent="0.25">
      <c r="B55" s="186"/>
      <c r="C55" s="383" t="s">
        <v>60</v>
      </c>
      <c r="D55" s="376"/>
      <c r="E55" s="377" t="s">
        <v>61</v>
      </c>
      <c r="F55" s="378"/>
      <c r="G55" s="246"/>
      <c r="H55" s="247"/>
    </row>
    <row r="56" spans="2:8" ht="39.950000000000003" customHeight="1" x14ac:dyDescent="0.25">
      <c r="B56" s="186"/>
      <c r="C56" s="383" t="s">
        <v>62</v>
      </c>
      <c r="D56" s="376"/>
      <c r="E56" s="377" t="s">
        <v>63</v>
      </c>
      <c r="F56" s="378"/>
      <c r="G56" s="246"/>
      <c r="H56" s="247"/>
    </row>
    <row r="57" spans="2:8" ht="29.45" customHeight="1" x14ac:dyDescent="0.25">
      <c r="B57" s="186"/>
      <c r="C57" s="383" t="s">
        <v>64</v>
      </c>
      <c r="D57" s="376"/>
      <c r="E57" s="377" t="s">
        <v>65</v>
      </c>
      <c r="F57" s="378"/>
      <c r="G57" s="246"/>
      <c r="H57" s="247"/>
    </row>
    <row r="58" spans="2:8" ht="18.75" customHeight="1" x14ac:dyDescent="0.25">
      <c r="B58" s="186"/>
      <c r="C58" s="246"/>
      <c r="D58" s="246"/>
      <c r="E58" s="246"/>
      <c r="F58" s="246"/>
      <c r="G58" s="246"/>
      <c r="H58" s="247"/>
    </row>
    <row r="59" spans="2:8" ht="18.75" customHeight="1" x14ac:dyDescent="0.25">
      <c r="B59" s="401" t="s">
        <v>66</v>
      </c>
      <c r="C59" s="402"/>
      <c r="D59" s="402"/>
      <c r="E59" s="402"/>
      <c r="F59" s="402"/>
      <c r="G59" s="402"/>
      <c r="H59" s="403"/>
    </row>
    <row r="60" spans="2:8" ht="18.75" customHeight="1" x14ac:dyDescent="0.25">
      <c r="B60" s="186"/>
      <c r="C60" s="246"/>
      <c r="D60" s="246"/>
      <c r="E60" s="246"/>
      <c r="F60" s="246"/>
      <c r="G60" s="246"/>
      <c r="H60" s="247"/>
    </row>
    <row r="61" spans="2:8" ht="18.75" customHeight="1" x14ac:dyDescent="0.25">
      <c r="B61" s="389" t="s">
        <v>67</v>
      </c>
      <c r="C61" s="390"/>
      <c r="D61" s="390"/>
      <c r="E61" s="390"/>
      <c r="F61" s="390"/>
      <c r="G61" s="390"/>
      <c r="H61" s="391"/>
    </row>
    <row r="62" spans="2:8" ht="18.75" customHeight="1" x14ac:dyDescent="0.25">
      <c r="B62" s="240"/>
      <c r="C62" s="241"/>
      <c r="D62" s="241"/>
      <c r="E62" s="241"/>
      <c r="F62" s="241"/>
      <c r="G62" s="241"/>
      <c r="H62" s="242"/>
    </row>
    <row r="63" spans="2:8" ht="30" customHeight="1" x14ac:dyDescent="0.25">
      <c r="B63" s="404" t="s">
        <v>68</v>
      </c>
      <c r="C63" s="405"/>
      <c r="D63" s="405"/>
      <c r="E63" s="405"/>
      <c r="F63" s="405"/>
      <c r="G63" s="405"/>
      <c r="H63" s="406"/>
    </row>
    <row r="64" spans="2:8" ht="17.25" thickBot="1" x14ac:dyDescent="0.3">
      <c r="B64" s="186"/>
      <c r="C64" s="246"/>
      <c r="D64" s="246"/>
      <c r="E64" s="246"/>
      <c r="F64" s="246"/>
      <c r="G64" s="246"/>
      <c r="H64" s="247"/>
    </row>
    <row r="65" spans="2:8" ht="30" customHeight="1" thickTop="1" x14ac:dyDescent="0.25">
      <c r="B65" s="186"/>
      <c r="C65" s="379" t="s">
        <v>10</v>
      </c>
      <c r="D65" s="380"/>
      <c r="E65" s="381" t="s">
        <v>11</v>
      </c>
      <c r="F65" s="382"/>
      <c r="G65" s="246"/>
      <c r="H65" s="247"/>
    </row>
    <row r="66" spans="2:8" ht="30" customHeight="1" x14ac:dyDescent="0.25">
      <c r="B66" s="186"/>
      <c r="C66" s="383" t="s">
        <v>69</v>
      </c>
      <c r="D66" s="376"/>
      <c r="E66" s="377" t="s">
        <v>70</v>
      </c>
      <c r="F66" s="378"/>
      <c r="G66" s="246"/>
      <c r="H66" s="247"/>
    </row>
    <row r="67" spans="2:8" ht="44.45" customHeight="1" x14ac:dyDescent="0.25">
      <c r="B67" s="186"/>
      <c r="C67" s="383" t="s">
        <v>71</v>
      </c>
      <c r="D67" s="376"/>
      <c r="E67" s="377" t="s">
        <v>72</v>
      </c>
      <c r="F67" s="378"/>
      <c r="G67" s="246"/>
      <c r="H67" s="247"/>
    </row>
    <row r="68" spans="2:8" ht="51" customHeight="1" x14ac:dyDescent="0.25">
      <c r="B68" s="186"/>
      <c r="C68" s="383" t="s">
        <v>73</v>
      </c>
      <c r="D68" s="376"/>
      <c r="E68" s="377" t="s">
        <v>74</v>
      </c>
      <c r="F68" s="378"/>
      <c r="G68" s="246"/>
      <c r="H68" s="247"/>
    </row>
    <row r="69" spans="2:8" ht="76.5" customHeight="1" x14ac:dyDescent="0.25">
      <c r="B69" s="186"/>
      <c r="C69" s="383" t="s">
        <v>75</v>
      </c>
      <c r="D69" s="376"/>
      <c r="E69" s="377" t="s">
        <v>76</v>
      </c>
      <c r="F69" s="378"/>
      <c r="G69" s="246"/>
      <c r="H69" s="247"/>
    </row>
    <row r="70" spans="2:8" ht="30" customHeight="1" x14ac:dyDescent="0.25">
      <c r="B70" s="186"/>
      <c r="C70" s="383" t="s">
        <v>77</v>
      </c>
      <c r="D70" s="376"/>
      <c r="E70" s="377" t="s">
        <v>78</v>
      </c>
      <c r="F70" s="378"/>
      <c r="G70" s="246"/>
      <c r="H70" s="247"/>
    </row>
    <row r="71" spans="2:8" ht="30" customHeight="1" x14ac:dyDescent="0.25">
      <c r="B71" s="186"/>
      <c r="C71" s="383" t="s">
        <v>79</v>
      </c>
      <c r="D71" s="376"/>
      <c r="E71" s="377" t="s">
        <v>80</v>
      </c>
      <c r="F71" s="378"/>
      <c r="G71" s="246"/>
      <c r="H71" s="247"/>
    </row>
    <row r="72" spans="2:8" ht="30" customHeight="1" x14ac:dyDescent="0.25">
      <c r="B72" s="186"/>
      <c r="C72" s="383" t="s">
        <v>81</v>
      </c>
      <c r="D72" s="376"/>
      <c r="E72" s="377" t="s">
        <v>82</v>
      </c>
      <c r="F72" s="378"/>
      <c r="G72" s="246"/>
      <c r="H72" s="247"/>
    </row>
    <row r="73" spans="2:8" ht="53.45" customHeight="1" x14ac:dyDescent="0.25">
      <c r="B73" s="186"/>
      <c r="C73" s="383" t="s">
        <v>83</v>
      </c>
      <c r="D73" s="376"/>
      <c r="E73" s="377" t="s">
        <v>84</v>
      </c>
      <c r="F73" s="378"/>
      <c r="G73" s="246"/>
      <c r="H73" s="247"/>
    </row>
    <row r="74" spans="2:8" ht="30" customHeight="1" x14ac:dyDescent="0.25">
      <c r="B74" s="186"/>
      <c r="C74" s="246"/>
      <c r="D74" s="246"/>
      <c r="E74" s="246"/>
      <c r="F74" s="246"/>
      <c r="G74" s="246"/>
      <c r="H74" s="247"/>
    </row>
    <row r="75" spans="2:8" ht="18.75" customHeight="1" x14ac:dyDescent="0.25">
      <c r="B75" s="389" t="s">
        <v>85</v>
      </c>
      <c r="C75" s="390"/>
      <c r="D75" s="390"/>
      <c r="E75" s="390"/>
      <c r="F75" s="390"/>
      <c r="G75" s="390"/>
      <c r="H75" s="391"/>
    </row>
    <row r="76" spans="2:8" ht="18.75" customHeight="1" x14ac:dyDescent="0.25">
      <c r="B76" s="248"/>
      <c r="C76" s="249"/>
      <c r="D76" s="249"/>
      <c r="E76" s="249"/>
      <c r="F76" s="249"/>
      <c r="G76" s="249"/>
      <c r="H76" s="250"/>
    </row>
    <row r="77" spans="2:8" ht="18.75" customHeight="1" x14ac:dyDescent="0.25">
      <c r="B77" s="389" t="s">
        <v>86</v>
      </c>
      <c r="C77" s="390"/>
      <c r="D77" s="390"/>
      <c r="E77" s="390"/>
      <c r="F77" s="390"/>
      <c r="G77" s="390"/>
      <c r="H77" s="391"/>
    </row>
    <row r="78" spans="2:8" ht="18.75" customHeight="1" x14ac:dyDescent="0.25">
      <c r="B78" s="248"/>
      <c r="C78" s="249"/>
      <c r="D78" s="249"/>
      <c r="E78" s="249"/>
      <c r="F78" s="249"/>
      <c r="G78" s="249"/>
      <c r="H78" s="250"/>
    </row>
    <row r="79" spans="2:8" ht="18.75" customHeight="1" x14ac:dyDescent="0.25">
      <c r="B79" s="389" t="s">
        <v>87</v>
      </c>
      <c r="C79" s="390"/>
      <c r="D79" s="390"/>
      <c r="E79" s="390"/>
      <c r="F79" s="390"/>
      <c r="G79" s="390"/>
      <c r="H79" s="391"/>
    </row>
    <row r="80" spans="2:8" ht="16.5" x14ac:dyDescent="0.25">
      <c r="B80" s="186"/>
      <c r="C80" s="269"/>
      <c r="D80" s="269"/>
      <c r="E80" s="269"/>
      <c r="F80" s="269"/>
      <c r="G80" s="269"/>
      <c r="H80" s="187"/>
    </row>
    <row r="81" spans="2:8" ht="16.5" x14ac:dyDescent="0.25">
      <c r="B81" s="186"/>
      <c r="C81" s="269"/>
      <c r="D81" s="269"/>
      <c r="E81" s="269"/>
      <c r="F81" s="269"/>
      <c r="G81" s="269"/>
      <c r="H81" s="187"/>
    </row>
    <row r="82" spans="2:8" ht="16.5" x14ac:dyDescent="0.25">
      <c r="B82" s="186" t="s">
        <v>88</v>
      </c>
      <c r="C82" s="269"/>
      <c r="D82" s="269"/>
      <c r="E82" s="269"/>
      <c r="F82" s="269"/>
      <c r="G82" s="269"/>
      <c r="H82" s="187"/>
    </row>
    <row r="83" spans="2:8" ht="16.5" x14ac:dyDescent="0.25">
      <c r="B83" s="186"/>
      <c r="C83" s="269"/>
      <c r="D83" s="269"/>
      <c r="E83" s="269"/>
      <c r="F83" s="269"/>
      <c r="G83" s="269"/>
      <c r="H83" s="187"/>
    </row>
    <row r="84" spans="2:8" ht="15.75" thickBot="1" x14ac:dyDescent="0.3">
      <c r="B84" s="261"/>
      <c r="C84" s="266"/>
      <c r="D84" s="270"/>
      <c r="E84" s="271"/>
      <c r="F84" s="271"/>
      <c r="G84" s="272"/>
      <c r="H84" s="262"/>
    </row>
    <row r="85" spans="2:8" ht="15.75" thickTop="1" x14ac:dyDescent="0.25">
      <c r="B85" s="273" t="s">
        <v>89</v>
      </c>
      <c r="C85" s="425" t="s">
        <v>10</v>
      </c>
      <c r="D85" s="380"/>
      <c r="E85" s="381" t="s">
        <v>11</v>
      </c>
      <c r="F85" s="382"/>
      <c r="G85" s="266"/>
      <c r="H85" s="262"/>
    </row>
    <row r="86" spans="2:8" s="185" customFormat="1" x14ac:dyDescent="0.25">
      <c r="B86" s="277">
        <v>2</v>
      </c>
      <c r="C86" s="385" t="s">
        <v>12</v>
      </c>
      <c r="D86" s="386"/>
      <c r="E86" s="387" t="s">
        <v>13</v>
      </c>
      <c r="F86" s="388"/>
      <c r="G86" s="274"/>
      <c r="H86" s="188"/>
    </row>
    <row r="87" spans="2:8" s="185" customFormat="1" ht="17.25" customHeight="1" x14ac:dyDescent="0.25">
      <c r="B87" s="277">
        <v>2</v>
      </c>
      <c r="C87" s="385" t="s">
        <v>14</v>
      </c>
      <c r="D87" s="386"/>
      <c r="E87" s="387" t="s">
        <v>15</v>
      </c>
      <c r="F87" s="388"/>
      <c r="G87" s="274"/>
      <c r="H87" s="188"/>
    </row>
    <row r="88" spans="2:8" s="185" customFormat="1" ht="25.5" customHeight="1" x14ac:dyDescent="0.25">
      <c r="B88" s="277">
        <v>2</v>
      </c>
      <c r="C88" s="385" t="s">
        <v>16</v>
      </c>
      <c r="D88" s="386"/>
      <c r="E88" s="387" t="s">
        <v>17</v>
      </c>
      <c r="F88" s="388"/>
      <c r="G88" s="274"/>
      <c r="H88" s="188"/>
    </row>
    <row r="89" spans="2:8" s="185" customFormat="1" ht="25.5" customHeight="1" x14ac:dyDescent="0.25">
      <c r="B89" s="277">
        <v>2</v>
      </c>
      <c r="C89" s="385" t="s">
        <v>18</v>
      </c>
      <c r="D89" s="386"/>
      <c r="E89" s="387" t="s">
        <v>19</v>
      </c>
      <c r="F89" s="388"/>
      <c r="G89" s="274"/>
      <c r="H89" s="188"/>
    </row>
    <row r="90" spans="2:8" s="185" customFormat="1" ht="66.95" customHeight="1" x14ac:dyDescent="0.25">
      <c r="B90" s="277">
        <v>2</v>
      </c>
      <c r="C90" s="385" t="s">
        <v>20</v>
      </c>
      <c r="D90" s="386"/>
      <c r="E90" s="387" t="s">
        <v>21</v>
      </c>
      <c r="F90" s="388"/>
      <c r="G90" s="274"/>
      <c r="H90" s="188"/>
    </row>
    <row r="91" spans="2:8" s="185" customFormat="1" ht="67.5" customHeight="1" x14ac:dyDescent="0.25">
      <c r="B91" s="277">
        <v>2</v>
      </c>
      <c r="C91" s="376" t="s">
        <v>22</v>
      </c>
      <c r="D91" s="384"/>
      <c r="E91" s="377" t="s">
        <v>23</v>
      </c>
      <c r="F91" s="378"/>
      <c r="G91" s="274"/>
      <c r="H91" s="188"/>
    </row>
    <row r="92" spans="2:8" s="185" customFormat="1" ht="43.5" customHeight="1" x14ac:dyDescent="0.25">
      <c r="B92" s="277">
        <v>2</v>
      </c>
      <c r="C92" s="376" t="s">
        <v>24</v>
      </c>
      <c r="D92" s="384"/>
      <c r="E92" s="377" t="s">
        <v>25</v>
      </c>
      <c r="F92" s="378"/>
      <c r="G92" s="274"/>
      <c r="H92" s="188"/>
    </row>
    <row r="93" spans="2:8" s="185" customFormat="1" ht="35.25" customHeight="1" x14ac:dyDescent="0.25">
      <c r="B93" s="277">
        <v>2</v>
      </c>
      <c r="C93" s="376" t="s">
        <v>26</v>
      </c>
      <c r="D93" s="384"/>
      <c r="E93" s="377" t="s">
        <v>27</v>
      </c>
      <c r="F93" s="378"/>
      <c r="G93" s="274"/>
      <c r="H93" s="188"/>
    </row>
    <row r="94" spans="2:8" s="185" customFormat="1" ht="72.75" customHeight="1" x14ac:dyDescent="0.25">
      <c r="B94" s="277">
        <v>2</v>
      </c>
      <c r="C94" s="376" t="s">
        <v>28</v>
      </c>
      <c r="D94" s="384"/>
      <c r="E94" s="377" t="s">
        <v>90</v>
      </c>
      <c r="F94" s="378"/>
      <c r="G94" s="274"/>
      <c r="H94" s="188"/>
    </row>
    <row r="95" spans="2:8" s="185" customFormat="1" ht="93.95" customHeight="1" x14ac:dyDescent="0.25">
      <c r="B95" s="277">
        <v>2</v>
      </c>
      <c r="C95" s="376" t="s">
        <v>30</v>
      </c>
      <c r="D95" s="384"/>
      <c r="E95" s="377" t="s">
        <v>31</v>
      </c>
      <c r="F95" s="378"/>
      <c r="G95" s="274"/>
      <c r="H95" s="188"/>
    </row>
    <row r="96" spans="2:8" s="185" customFormat="1" ht="93.95" customHeight="1" x14ac:dyDescent="0.25">
      <c r="B96" s="277">
        <v>2</v>
      </c>
      <c r="C96" s="376" t="s">
        <v>32</v>
      </c>
      <c r="D96" s="384"/>
      <c r="E96" s="377" t="s">
        <v>33</v>
      </c>
      <c r="F96" s="378"/>
      <c r="G96" s="274"/>
      <c r="H96" s="188"/>
    </row>
    <row r="97" spans="2:8" s="185" customFormat="1" x14ac:dyDescent="0.25">
      <c r="B97" s="277">
        <v>2</v>
      </c>
      <c r="C97" s="376" t="s">
        <v>34</v>
      </c>
      <c r="D97" s="384"/>
      <c r="E97" s="377" t="s">
        <v>35</v>
      </c>
      <c r="F97" s="378"/>
      <c r="G97" s="274"/>
      <c r="H97" s="188"/>
    </row>
    <row r="98" spans="2:8" s="185" customFormat="1" ht="66.75" customHeight="1" x14ac:dyDescent="0.25">
      <c r="B98" s="277">
        <v>3</v>
      </c>
      <c r="C98" s="376" t="s">
        <v>37</v>
      </c>
      <c r="D98" s="384"/>
      <c r="E98" s="377" t="s">
        <v>38</v>
      </c>
      <c r="F98" s="378"/>
      <c r="G98" s="274"/>
      <c r="H98" s="188"/>
    </row>
    <row r="99" spans="2:8" s="185" customFormat="1" ht="66.75" customHeight="1" x14ac:dyDescent="0.25">
      <c r="B99" s="277">
        <v>3</v>
      </c>
      <c r="C99" s="376" t="s">
        <v>39</v>
      </c>
      <c r="D99" s="384"/>
      <c r="E99" s="377" t="s">
        <v>40</v>
      </c>
      <c r="F99" s="378"/>
      <c r="G99" s="274"/>
      <c r="H99" s="188"/>
    </row>
    <row r="100" spans="2:8" s="185" customFormat="1" ht="62.45" customHeight="1" x14ac:dyDescent="0.25">
      <c r="B100" s="277">
        <v>3</v>
      </c>
      <c r="C100" s="376" t="s">
        <v>41</v>
      </c>
      <c r="D100" s="384"/>
      <c r="E100" s="377" t="s">
        <v>42</v>
      </c>
      <c r="F100" s="378"/>
      <c r="G100" s="274"/>
      <c r="H100" s="188"/>
    </row>
    <row r="101" spans="2:8" s="185" customFormat="1" ht="38.450000000000003" customHeight="1" x14ac:dyDescent="0.25">
      <c r="B101" s="277">
        <v>3</v>
      </c>
      <c r="C101" s="376" t="s">
        <v>43</v>
      </c>
      <c r="D101" s="384"/>
      <c r="E101" s="377" t="s">
        <v>44</v>
      </c>
      <c r="F101" s="378"/>
      <c r="G101" s="274"/>
      <c r="H101" s="188"/>
    </row>
    <row r="102" spans="2:8" ht="59.25" customHeight="1" x14ac:dyDescent="0.25">
      <c r="B102" s="278">
        <v>5</v>
      </c>
      <c r="C102" s="375" t="s">
        <v>47</v>
      </c>
      <c r="D102" s="376"/>
      <c r="E102" s="377" t="s">
        <v>91</v>
      </c>
      <c r="F102" s="378"/>
      <c r="G102" s="266"/>
      <c r="H102" s="262"/>
    </row>
    <row r="103" spans="2:8" ht="59.25" customHeight="1" x14ac:dyDescent="0.25">
      <c r="B103" s="278">
        <v>5</v>
      </c>
      <c r="C103" s="375" t="s">
        <v>49</v>
      </c>
      <c r="D103" s="376"/>
      <c r="E103" s="377" t="s">
        <v>50</v>
      </c>
      <c r="F103" s="378"/>
      <c r="G103" s="266"/>
      <c r="H103" s="262"/>
    </row>
    <row r="104" spans="2:8" ht="59.25" customHeight="1" x14ac:dyDescent="0.25">
      <c r="B104" s="278">
        <v>5</v>
      </c>
      <c r="C104" s="375" t="s">
        <v>51</v>
      </c>
      <c r="D104" s="376"/>
      <c r="E104" s="377" t="s">
        <v>52</v>
      </c>
      <c r="F104" s="378"/>
      <c r="G104" s="266"/>
      <c r="H104" s="262"/>
    </row>
    <row r="105" spans="2:8" ht="59.25" customHeight="1" x14ac:dyDescent="0.25">
      <c r="B105" s="278">
        <v>5</v>
      </c>
      <c r="C105" s="375" t="s">
        <v>53</v>
      </c>
      <c r="D105" s="376"/>
      <c r="E105" s="377" t="s">
        <v>52</v>
      </c>
      <c r="F105" s="378"/>
      <c r="G105" s="266"/>
      <c r="H105" s="262"/>
    </row>
    <row r="106" spans="2:8" ht="47.45" customHeight="1" x14ac:dyDescent="0.25">
      <c r="B106" s="278">
        <v>5</v>
      </c>
      <c r="C106" s="375" t="s">
        <v>54</v>
      </c>
      <c r="D106" s="376"/>
      <c r="E106" s="377" t="s">
        <v>55</v>
      </c>
      <c r="F106" s="378"/>
      <c r="G106" s="266"/>
      <c r="H106" s="262"/>
    </row>
    <row r="107" spans="2:8" ht="45.75" customHeight="1" x14ac:dyDescent="0.25">
      <c r="B107" s="278">
        <v>5</v>
      </c>
      <c r="C107" s="375" t="s">
        <v>56</v>
      </c>
      <c r="D107" s="376"/>
      <c r="E107" s="377" t="s">
        <v>57</v>
      </c>
      <c r="F107" s="378"/>
      <c r="G107" s="266"/>
      <c r="H107" s="262"/>
    </row>
    <row r="108" spans="2:8" ht="32.450000000000003" customHeight="1" x14ac:dyDescent="0.25">
      <c r="B108" s="278">
        <v>5</v>
      </c>
      <c r="C108" s="375" t="s">
        <v>58</v>
      </c>
      <c r="D108" s="376"/>
      <c r="E108" s="377" t="s">
        <v>59</v>
      </c>
      <c r="F108" s="378"/>
      <c r="G108" s="266"/>
      <c r="H108" s="262"/>
    </row>
    <row r="109" spans="2:8" ht="33.75" customHeight="1" x14ac:dyDescent="0.25">
      <c r="B109" s="278">
        <v>5</v>
      </c>
      <c r="C109" s="375" t="s">
        <v>60</v>
      </c>
      <c r="D109" s="376"/>
      <c r="E109" s="377" t="s">
        <v>61</v>
      </c>
      <c r="F109" s="378"/>
      <c r="G109" s="266"/>
      <c r="H109" s="262"/>
    </row>
    <row r="110" spans="2:8" ht="33.75" customHeight="1" x14ac:dyDescent="0.25">
      <c r="B110" s="278">
        <v>5</v>
      </c>
      <c r="C110" s="375" t="s">
        <v>62</v>
      </c>
      <c r="D110" s="376"/>
      <c r="E110" s="377" t="s">
        <v>63</v>
      </c>
      <c r="F110" s="378"/>
      <c r="G110" s="266"/>
      <c r="H110" s="262"/>
    </row>
    <row r="111" spans="2:8" x14ac:dyDescent="0.25">
      <c r="B111" s="278">
        <v>5</v>
      </c>
      <c r="C111" s="375" t="s">
        <v>64</v>
      </c>
      <c r="D111" s="376"/>
      <c r="E111" s="377" t="s">
        <v>65</v>
      </c>
      <c r="F111" s="378"/>
      <c r="G111" s="266"/>
      <c r="H111" s="262"/>
    </row>
    <row r="112" spans="2:8" ht="24.95" customHeight="1" x14ac:dyDescent="0.25">
      <c r="B112" s="278">
        <v>8</v>
      </c>
      <c r="C112" s="375" t="s">
        <v>69</v>
      </c>
      <c r="D112" s="376"/>
      <c r="E112" s="377" t="s">
        <v>70</v>
      </c>
      <c r="F112" s="378"/>
      <c r="G112" s="266"/>
      <c r="H112" s="262"/>
    </row>
    <row r="113" spans="2:8" ht="46.5" customHeight="1" x14ac:dyDescent="0.25">
      <c r="B113" s="278">
        <v>8</v>
      </c>
      <c r="C113" s="375" t="s">
        <v>71</v>
      </c>
      <c r="D113" s="376"/>
      <c r="E113" s="377" t="s">
        <v>72</v>
      </c>
      <c r="F113" s="378"/>
      <c r="G113" s="266"/>
      <c r="H113" s="262"/>
    </row>
    <row r="114" spans="2:8" ht="46.5" customHeight="1" x14ac:dyDescent="0.25">
      <c r="B114" s="278">
        <v>8</v>
      </c>
      <c r="C114" s="375" t="s">
        <v>73</v>
      </c>
      <c r="D114" s="376"/>
      <c r="E114" s="377" t="s">
        <v>74</v>
      </c>
      <c r="F114" s="378"/>
      <c r="G114" s="266"/>
      <c r="H114" s="262"/>
    </row>
    <row r="115" spans="2:8" s="185" customFormat="1" ht="82.5" customHeight="1" x14ac:dyDescent="0.25">
      <c r="B115" s="277">
        <v>8</v>
      </c>
      <c r="C115" s="375" t="s">
        <v>75</v>
      </c>
      <c r="D115" s="376"/>
      <c r="E115" s="377" t="s">
        <v>76</v>
      </c>
      <c r="F115" s="378"/>
      <c r="G115" s="274"/>
      <c r="H115" s="188"/>
    </row>
    <row r="116" spans="2:8" s="185" customFormat="1" ht="33.950000000000003" customHeight="1" x14ac:dyDescent="0.25">
      <c r="B116" s="277">
        <v>8</v>
      </c>
      <c r="C116" s="375" t="s">
        <v>77</v>
      </c>
      <c r="D116" s="376"/>
      <c r="E116" s="377" t="s">
        <v>78</v>
      </c>
      <c r="F116" s="378"/>
      <c r="G116" s="274"/>
      <c r="H116" s="188"/>
    </row>
    <row r="117" spans="2:8" s="185" customFormat="1" ht="33.950000000000003" customHeight="1" x14ac:dyDescent="0.25">
      <c r="B117" s="277">
        <v>8</v>
      </c>
      <c r="C117" s="375" t="s">
        <v>79</v>
      </c>
      <c r="D117" s="376"/>
      <c r="E117" s="377" t="s">
        <v>80</v>
      </c>
      <c r="F117" s="378"/>
      <c r="G117" s="274"/>
      <c r="H117" s="188"/>
    </row>
    <row r="118" spans="2:8" s="185" customFormat="1" ht="33.950000000000003" customHeight="1" x14ac:dyDescent="0.25">
      <c r="B118" s="277">
        <v>8</v>
      </c>
      <c r="C118" s="375" t="s">
        <v>81</v>
      </c>
      <c r="D118" s="376"/>
      <c r="E118" s="377" t="s">
        <v>82</v>
      </c>
      <c r="F118" s="378"/>
      <c r="G118" s="274"/>
      <c r="H118" s="188"/>
    </row>
    <row r="119" spans="2:8" s="185" customFormat="1" ht="46.5" customHeight="1" x14ac:dyDescent="0.25">
      <c r="B119" s="277">
        <v>8</v>
      </c>
      <c r="C119" s="375" t="s">
        <v>83</v>
      </c>
      <c r="D119" s="376"/>
      <c r="E119" s="377" t="s">
        <v>84</v>
      </c>
      <c r="F119" s="378"/>
      <c r="G119" s="274"/>
      <c r="H119" s="188"/>
    </row>
    <row r="120" spans="2:8" ht="6.75" customHeight="1" thickBot="1" x14ac:dyDescent="0.3">
      <c r="B120" s="261"/>
      <c r="C120" s="407"/>
      <c r="D120" s="408"/>
      <c r="E120" s="409"/>
      <c r="F120" s="410"/>
      <c r="G120" s="266"/>
      <c r="H120" s="262"/>
    </row>
    <row r="121" spans="2:8" ht="15.75" thickTop="1" x14ac:dyDescent="0.25">
      <c r="B121" s="261"/>
      <c r="C121" s="275"/>
      <c r="D121" s="275"/>
      <c r="E121" s="276"/>
      <c r="F121" s="276"/>
      <c r="G121" s="266"/>
      <c r="H121" s="262"/>
    </row>
    <row r="122" spans="2:8" ht="15.75" thickBot="1" x14ac:dyDescent="0.3">
      <c r="B122" s="263"/>
      <c r="C122" s="264"/>
      <c r="D122" s="264"/>
      <c r="E122" s="264"/>
      <c r="F122" s="264"/>
      <c r="G122" s="264"/>
      <c r="H122" s="265"/>
    </row>
    <row r="123" spans="2:8" x14ac:dyDescent="0.25"/>
    <row r="124" spans="2:8" x14ac:dyDescent="0.25"/>
    <row r="125" spans="2:8" x14ac:dyDescent="0.25"/>
    <row r="126" spans="2:8" x14ac:dyDescent="0.25">
      <c r="B126" s="291" t="s">
        <v>92</v>
      </c>
    </row>
    <row r="127" spans="2:8" ht="48" customHeight="1" x14ac:dyDescent="0.25">
      <c r="B127" s="373"/>
      <c r="C127" s="373"/>
    </row>
    <row r="128" spans="2:8" x14ac:dyDescent="0.25">
      <c r="B128" s="374"/>
      <c r="C128" s="374"/>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topLeftCell="A57" zoomScale="70" zoomScaleNormal="70" workbookViewId="0">
      <selection activeCell="E68" sqref="E68"/>
    </sheetView>
  </sheetViews>
  <sheetFormatPr baseColWidth="10" defaultColWidth="10.85546875" defaultRowHeight="12.75" x14ac:dyDescent="0.2"/>
  <cols>
    <col min="1" max="1" width="35.42578125" style="133" customWidth="1"/>
    <col min="2" max="2" width="47.140625" style="133" customWidth="1"/>
    <col min="3" max="3" width="42.42578125" style="133" customWidth="1"/>
    <col min="4" max="4" width="34.42578125" style="133" customWidth="1"/>
    <col min="5" max="5" width="27.140625" style="133" customWidth="1"/>
    <col min="6" max="6" width="45.42578125" style="133" customWidth="1"/>
    <col min="7" max="7" width="22.140625" style="133" customWidth="1"/>
    <col min="8" max="8" width="20.85546875" style="133" customWidth="1"/>
    <col min="9" max="9" width="46.28515625" style="133" customWidth="1"/>
    <col min="10" max="10" width="10.85546875" style="133"/>
    <col min="11" max="11" width="20.85546875" style="133" customWidth="1"/>
    <col min="12" max="12" width="14.42578125" style="133" customWidth="1"/>
    <col min="13" max="14" width="21" style="133" customWidth="1"/>
    <col min="15" max="16" width="10.85546875" style="133"/>
    <col min="17" max="17" width="14.85546875" style="133" customWidth="1"/>
    <col min="18" max="18" width="10.85546875" style="133"/>
    <col min="19" max="19" width="16.42578125" style="133" customWidth="1"/>
    <col min="20" max="20" width="10.85546875" style="133"/>
    <col min="21" max="21" width="30.140625" style="133" customWidth="1"/>
    <col min="22" max="16384" width="10.85546875" style="133"/>
  </cols>
  <sheetData>
    <row r="1" spans="1:23" ht="25.5" customHeight="1" x14ac:dyDescent="0.2">
      <c r="A1" s="439" t="s">
        <v>115</v>
      </c>
      <c r="B1" s="439"/>
      <c r="E1" s="438" t="s">
        <v>116</v>
      </c>
      <c r="F1" s="438"/>
      <c r="G1" s="438"/>
      <c r="H1" s="438"/>
    </row>
    <row r="2" spans="1:23" ht="48.95" customHeight="1" x14ac:dyDescent="0.2">
      <c r="B2" s="144" t="s">
        <v>102</v>
      </c>
      <c r="C2" s="144"/>
      <c r="E2" s="437" t="s">
        <v>117</v>
      </c>
      <c r="F2" s="437"/>
      <c r="G2" s="437"/>
      <c r="H2" s="437"/>
      <c r="I2" s="437"/>
      <c r="K2" s="437" t="s">
        <v>118</v>
      </c>
      <c r="L2" s="437"/>
      <c r="M2" s="437"/>
      <c r="N2" s="437"/>
      <c r="P2" s="437" t="s">
        <v>53</v>
      </c>
      <c r="Q2" s="437"/>
      <c r="S2" s="134" t="s">
        <v>71</v>
      </c>
      <c r="U2" s="134" t="s">
        <v>119</v>
      </c>
      <c r="W2" s="73" t="s">
        <v>83</v>
      </c>
    </row>
    <row r="3" spans="1:23" ht="29.25" thickBot="1" x14ac:dyDescent="0.25">
      <c r="A3" s="135" t="s">
        <v>120</v>
      </c>
      <c r="B3" s="144" t="s">
        <v>120</v>
      </c>
      <c r="C3" s="144" t="s">
        <v>102</v>
      </c>
      <c r="E3" s="136" t="s">
        <v>49</v>
      </c>
      <c r="F3" s="136" t="s">
        <v>51</v>
      </c>
      <c r="H3" s="136" t="s">
        <v>54</v>
      </c>
      <c r="I3" s="136" t="s">
        <v>56</v>
      </c>
      <c r="K3" s="134" t="s">
        <v>121</v>
      </c>
      <c r="L3" s="134" t="s">
        <v>122</v>
      </c>
      <c r="M3" s="134" t="s">
        <v>123</v>
      </c>
      <c r="N3" s="134" t="s">
        <v>124</v>
      </c>
      <c r="P3" s="140" t="s">
        <v>49</v>
      </c>
      <c r="Q3" s="140" t="s">
        <v>125</v>
      </c>
      <c r="S3" s="135" t="s">
        <v>126</v>
      </c>
      <c r="U3" s="11" t="s">
        <v>127</v>
      </c>
      <c r="W3" s="50" t="s">
        <v>128</v>
      </c>
    </row>
    <row r="4" spans="1:23" ht="38.25" x14ac:dyDescent="0.2">
      <c r="A4" s="143" t="s">
        <v>129</v>
      </c>
      <c r="B4" s="146" t="s">
        <v>129</v>
      </c>
      <c r="C4" s="157" t="s">
        <v>130</v>
      </c>
      <c r="E4" s="135" t="s">
        <v>131</v>
      </c>
      <c r="F4" s="137">
        <v>0.25</v>
      </c>
      <c r="H4" s="135" t="s">
        <v>132</v>
      </c>
      <c r="I4" s="137">
        <v>0.25</v>
      </c>
      <c r="K4" s="295" t="s">
        <v>133</v>
      </c>
      <c r="L4" s="135" t="s">
        <v>134</v>
      </c>
      <c r="M4" s="135" t="s">
        <v>135</v>
      </c>
      <c r="N4" s="135" t="s">
        <v>136</v>
      </c>
      <c r="P4" s="135" t="s">
        <v>131</v>
      </c>
      <c r="Q4" s="180" t="s">
        <v>137</v>
      </c>
      <c r="S4" s="135" t="s">
        <v>138</v>
      </c>
      <c r="U4" s="11" t="s">
        <v>139</v>
      </c>
      <c r="W4" s="50" t="s">
        <v>140</v>
      </c>
    </row>
    <row r="5" spans="1:23" ht="77.25" thickBot="1" x14ac:dyDescent="0.25">
      <c r="A5" s="143" t="s">
        <v>141</v>
      </c>
      <c r="B5" s="150"/>
      <c r="C5" s="158"/>
      <c r="E5" s="135" t="s">
        <v>142</v>
      </c>
      <c r="F5" s="137">
        <v>0.15</v>
      </c>
      <c r="H5" s="135" t="s">
        <v>143</v>
      </c>
      <c r="I5" s="137">
        <v>0.15</v>
      </c>
      <c r="K5" s="295" t="s">
        <v>144</v>
      </c>
      <c r="L5" s="135" t="s">
        <v>145</v>
      </c>
      <c r="M5" s="135" t="s">
        <v>146</v>
      </c>
      <c r="N5" s="135" t="s">
        <v>147</v>
      </c>
      <c r="P5" s="135" t="s">
        <v>142</v>
      </c>
      <c r="Q5" s="180" t="s">
        <v>137</v>
      </c>
      <c r="S5" s="135" t="s">
        <v>148</v>
      </c>
      <c r="U5" s="11" t="s">
        <v>149</v>
      </c>
      <c r="W5" s="50" t="s">
        <v>150</v>
      </c>
    </row>
    <row r="6" spans="1:23" ht="28.5" x14ac:dyDescent="0.2">
      <c r="A6" s="143" t="s">
        <v>151</v>
      </c>
      <c r="B6" s="152" t="s">
        <v>141</v>
      </c>
      <c r="C6" s="159" t="s">
        <v>152</v>
      </c>
      <c r="E6" s="135" t="s">
        <v>153</v>
      </c>
      <c r="F6" s="137">
        <v>0.1</v>
      </c>
      <c r="H6" s="135"/>
      <c r="I6" s="135"/>
      <c r="K6" s="295" t="s">
        <v>154</v>
      </c>
      <c r="L6" s="135"/>
      <c r="M6" s="135"/>
      <c r="N6" s="135" t="s">
        <v>155</v>
      </c>
      <c r="P6" s="135" t="s">
        <v>153</v>
      </c>
      <c r="Q6" s="180" t="s">
        <v>156</v>
      </c>
      <c r="S6" s="135" t="s">
        <v>157</v>
      </c>
      <c r="U6" s="11" t="s">
        <v>158</v>
      </c>
      <c r="W6" s="135"/>
    </row>
    <row r="7" spans="1:23" ht="13.5" thickBot="1" x14ac:dyDescent="0.25">
      <c r="A7" s="143" t="s">
        <v>159</v>
      </c>
      <c r="B7" s="150"/>
      <c r="C7" s="158"/>
      <c r="E7" s="135"/>
      <c r="F7" s="137"/>
      <c r="P7" s="138"/>
      <c r="S7" s="135" t="s">
        <v>160</v>
      </c>
    </row>
    <row r="8" spans="1:23" x14ac:dyDescent="0.2">
      <c r="A8" s="143" t="s">
        <v>161</v>
      </c>
      <c r="B8" s="152" t="s">
        <v>151</v>
      </c>
      <c r="C8" s="159" t="s">
        <v>162</v>
      </c>
      <c r="S8" s="135"/>
    </row>
    <row r="9" spans="1:23" ht="26.25" thickBot="1" x14ac:dyDescent="0.25">
      <c r="A9" s="143" t="s">
        <v>163</v>
      </c>
      <c r="B9" s="154"/>
      <c r="C9" s="158"/>
    </row>
    <row r="10" spans="1:23" x14ac:dyDescent="0.2">
      <c r="A10" s="143" t="s">
        <v>164</v>
      </c>
      <c r="B10" s="152" t="s">
        <v>159</v>
      </c>
      <c r="C10" s="159" t="s">
        <v>165</v>
      </c>
    </row>
    <row r="11" spans="1:23" ht="14.25" customHeight="1" thickBot="1" x14ac:dyDescent="0.25">
      <c r="A11" s="145"/>
      <c r="B11" s="150"/>
      <c r="C11" s="158"/>
    </row>
    <row r="12" spans="1:23" ht="14.25" customHeight="1" x14ac:dyDescent="0.2">
      <c r="B12" s="152" t="s">
        <v>161</v>
      </c>
      <c r="C12" s="153" t="s">
        <v>130</v>
      </c>
    </row>
    <row r="13" spans="1:23" ht="14.25" customHeight="1" x14ac:dyDescent="0.2">
      <c r="A13" s="293" t="s">
        <v>107</v>
      </c>
      <c r="B13" s="149"/>
      <c r="C13" s="148" t="s">
        <v>152</v>
      </c>
    </row>
    <row r="14" spans="1:23" ht="14.25" customHeight="1" x14ac:dyDescent="0.2">
      <c r="A14" s="294" t="s">
        <v>166</v>
      </c>
      <c r="B14" s="147"/>
      <c r="C14" s="148" t="s">
        <v>162</v>
      </c>
    </row>
    <row r="15" spans="1:23" ht="14.25" customHeight="1" x14ac:dyDescent="0.2">
      <c r="A15" s="294" t="s">
        <v>113</v>
      </c>
      <c r="B15" s="147"/>
      <c r="C15" s="148" t="s">
        <v>165</v>
      </c>
    </row>
    <row r="16" spans="1:23" ht="14.25" customHeight="1" x14ac:dyDescent="0.2">
      <c r="A16" s="294" t="s">
        <v>167</v>
      </c>
      <c r="B16" s="147"/>
      <c r="C16" s="148" t="s">
        <v>168</v>
      </c>
    </row>
    <row r="17" spans="1:5" ht="14.25" customHeight="1" thickBot="1" x14ac:dyDescent="0.25">
      <c r="A17" s="294" t="s">
        <v>169</v>
      </c>
      <c r="B17" s="150"/>
      <c r="C17" s="151"/>
    </row>
    <row r="18" spans="1:5" x14ac:dyDescent="0.2">
      <c r="A18" s="294" t="s">
        <v>170</v>
      </c>
      <c r="B18" s="152" t="s">
        <v>163</v>
      </c>
      <c r="C18" s="153" t="s">
        <v>130</v>
      </c>
    </row>
    <row r="19" spans="1:5" ht="14.25" customHeight="1" x14ac:dyDescent="0.2">
      <c r="B19" s="147"/>
      <c r="C19" s="148" t="s">
        <v>152</v>
      </c>
    </row>
    <row r="20" spans="1:5" ht="14.25" customHeight="1" x14ac:dyDescent="0.2">
      <c r="B20" s="147"/>
      <c r="C20" s="148" t="s">
        <v>162</v>
      </c>
    </row>
    <row r="21" spans="1:5" ht="14.25" customHeight="1" x14ac:dyDescent="0.2">
      <c r="B21" s="147"/>
      <c r="C21" s="148" t="s">
        <v>165</v>
      </c>
    </row>
    <row r="22" spans="1:5" ht="14.25" customHeight="1" x14ac:dyDescent="0.2">
      <c r="B22" s="147"/>
      <c r="C22" s="148" t="s">
        <v>168</v>
      </c>
    </row>
    <row r="23" spans="1:5" ht="14.25" customHeight="1" thickBot="1" x14ac:dyDescent="0.25">
      <c r="B23" s="154"/>
      <c r="C23" s="155"/>
    </row>
    <row r="24" spans="1:5" ht="14.25" customHeight="1" x14ac:dyDescent="0.2">
      <c r="B24" s="152" t="s">
        <v>164</v>
      </c>
      <c r="C24" s="153" t="s">
        <v>168</v>
      </c>
    </row>
    <row r="25" spans="1:5" ht="14.25" customHeight="1" x14ac:dyDescent="0.2">
      <c r="B25" s="147"/>
      <c r="C25" s="148" t="s">
        <v>152</v>
      </c>
    </row>
    <row r="26" spans="1:5" ht="14.25" customHeight="1" thickBot="1" x14ac:dyDescent="0.25">
      <c r="B26" s="150"/>
      <c r="C26" s="151"/>
    </row>
    <row r="30" spans="1:5" x14ac:dyDescent="0.2">
      <c r="A30" s="293"/>
      <c r="B30" s="293"/>
      <c r="C30" s="293"/>
      <c r="D30" s="293"/>
      <c r="E30" s="293"/>
    </row>
    <row r="31" spans="1:5" x14ac:dyDescent="0.2">
      <c r="A31" s="133" t="s">
        <v>166</v>
      </c>
      <c r="B31" s="133" t="s">
        <v>113</v>
      </c>
      <c r="C31" s="133" t="s">
        <v>171</v>
      </c>
      <c r="D31" s="133" t="s">
        <v>172</v>
      </c>
      <c r="E31" s="133" t="s">
        <v>173</v>
      </c>
    </row>
    <row r="32" spans="1:5" ht="25.5" x14ac:dyDescent="0.2">
      <c r="A32" s="304" t="s">
        <v>174</v>
      </c>
      <c r="B32" s="133" t="s">
        <v>175</v>
      </c>
      <c r="C32" s="133" t="s">
        <v>176</v>
      </c>
      <c r="D32" s="133" t="s">
        <v>177</v>
      </c>
      <c r="E32" s="133" t="s">
        <v>177</v>
      </c>
    </row>
    <row r="33" spans="1:9" ht="25.5" x14ac:dyDescent="0.2">
      <c r="A33" s="304" t="s">
        <v>178</v>
      </c>
      <c r="B33" s="133" t="s">
        <v>114</v>
      </c>
      <c r="C33" s="133" t="s">
        <v>179</v>
      </c>
      <c r="D33" s="133" t="s">
        <v>180</v>
      </c>
      <c r="E33" s="133" t="s">
        <v>180</v>
      </c>
    </row>
    <row r="34" spans="1:9" ht="25.5" x14ac:dyDescent="0.2">
      <c r="A34" s="304" t="s">
        <v>181</v>
      </c>
      <c r="B34" s="133" t="s">
        <v>182</v>
      </c>
      <c r="C34" s="133" t="s">
        <v>183</v>
      </c>
      <c r="D34" s="133" t="s">
        <v>184</v>
      </c>
      <c r="E34" s="133" t="s">
        <v>184</v>
      </c>
    </row>
    <row r="35" spans="1:9" ht="25.5" x14ac:dyDescent="0.2">
      <c r="B35" s="133" t="s">
        <v>185</v>
      </c>
    </row>
    <row r="37" spans="1:9" x14ac:dyDescent="0.2">
      <c r="H37" s="133" t="s">
        <v>103</v>
      </c>
      <c r="I37" s="133" t="s">
        <v>186</v>
      </c>
    </row>
    <row r="38" spans="1:9" ht="102" x14ac:dyDescent="0.2">
      <c r="A38" s="310" t="s">
        <v>187</v>
      </c>
      <c r="B38" s="310" t="s">
        <v>111</v>
      </c>
      <c r="C38" s="310" t="s">
        <v>162</v>
      </c>
      <c r="D38" s="310" t="s">
        <v>188</v>
      </c>
      <c r="E38" s="310" t="s">
        <v>168</v>
      </c>
      <c r="F38" s="310" t="s">
        <v>189</v>
      </c>
      <c r="H38" s="133" t="s">
        <v>187</v>
      </c>
      <c r="I38" s="133" t="s">
        <v>190</v>
      </c>
    </row>
    <row r="39" spans="1:9" ht="63.75" x14ac:dyDescent="0.2">
      <c r="A39" s="306" t="s">
        <v>191</v>
      </c>
      <c r="B39" s="307" t="s">
        <v>192</v>
      </c>
      <c r="C39" s="307" t="s">
        <v>193</v>
      </c>
      <c r="D39" s="306" t="s">
        <v>194</v>
      </c>
      <c r="E39" s="306" t="s">
        <v>195</v>
      </c>
      <c r="F39" s="308" t="s">
        <v>196</v>
      </c>
      <c r="H39" s="133" t="s">
        <v>111</v>
      </c>
      <c r="I39" s="133" t="s">
        <v>197</v>
      </c>
    </row>
    <row r="40" spans="1:9" ht="38.25" x14ac:dyDescent="0.2">
      <c r="A40" s="306" t="s">
        <v>198</v>
      </c>
      <c r="B40" s="307" t="s">
        <v>112</v>
      </c>
      <c r="C40" s="307" t="s">
        <v>199</v>
      </c>
      <c r="D40" s="309" t="s">
        <v>200</v>
      </c>
      <c r="E40" s="309" t="s">
        <v>201</v>
      </c>
      <c r="F40" s="306" t="s">
        <v>202</v>
      </c>
      <c r="H40" s="133" t="s">
        <v>162</v>
      </c>
      <c r="I40" s="133" t="s">
        <v>203</v>
      </c>
    </row>
    <row r="41" spans="1:9" ht="28.5" x14ac:dyDescent="0.2">
      <c r="A41" s="306" t="s">
        <v>204</v>
      </c>
      <c r="B41" s="307" t="s">
        <v>205</v>
      </c>
      <c r="C41" s="307" t="s">
        <v>206</v>
      </c>
      <c r="D41" s="309" t="s">
        <v>207</v>
      </c>
      <c r="E41" s="309" t="s">
        <v>208</v>
      </c>
      <c r="F41" s="309" t="s">
        <v>209</v>
      </c>
      <c r="H41" s="133" t="s">
        <v>188</v>
      </c>
      <c r="I41" s="133" t="s">
        <v>210</v>
      </c>
    </row>
    <row r="42" spans="1:9" ht="28.5" x14ac:dyDescent="0.2">
      <c r="A42" s="306" t="s">
        <v>211</v>
      </c>
      <c r="B42" s="307" t="s">
        <v>212</v>
      </c>
      <c r="C42" s="307" t="s">
        <v>213</v>
      </c>
      <c r="D42" s="309" t="s">
        <v>214</v>
      </c>
      <c r="E42" s="309" t="s">
        <v>215</v>
      </c>
      <c r="F42" s="309" t="s">
        <v>216</v>
      </c>
      <c r="H42" s="133" t="s">
        <v>168</v>
      </c>
      <c r="I42" s="133" t="s">
        <v>217</v>
      </c>
    </row>
    <row r="43" spans="1:9" ht="25.5" x14ac:dyDescent="0.2">
      <c r="A43" s="306" t="s">
        <v>218</v>
      </c>
      <c r="B43" s="305"/>
      <c r="C43" s="305"/>
      <c r="D43" s="309" t="s">
        <v>219</v>
      </c>
      <c r="E43" s="305"/>
      <c r="F43" s="305"/>
      <c r="H43" s="133" t="s">
        <v>189</v>
      </c>
      <c r="I43" s="133" t="s">
        <v>220</v>
      </c>
    </row>
    <row r="44" spans="1:9" ht="28.5" x14ac:dyDescent="0.2">
      <c r="A44" s="306" t="s">
        <v>221</v>
      </c>
      <c r="B44" s="305"/>
      <c r="C44" s="305"/>
      <c r="D44" s="305"/>
      <c r="E44" s="305"/>
      <c r="F44" s="305"/>
    </row>
    <row r="45" spans="1:9" ht="42.75" x14ac:dyDescent="0.2">
      <c r="A45" s="306" t="s">
        <v>222</v>
      </c>
      <c r="B45" s="305"/>
      <c r="C45" s="305"/>
      <c r="D45" s="305"/>
      <c r="E45" s="305"/>
      <c r="F45" s="305"/>
    </row>
    <row r="46" spans="1:9" ht="28.5" x14ac:dyDescent="0.2">
      <c r="A46" s="306" t="s">
        <v>223</v>
      </c>
      <c r="B46" s="305"/>
      <c r="C46" s="305"/>
      <c r="D46" s="305"/>
      <c r="E46" s="305"/>
      <c r="F46" s="305"/>
    </row>
    <row r="47" spans="1:9" ht="28.5" x14ac:dyDescent="0.2">
      <c r="A47" s="306" t="s">
        <v>224</v>
      </c>
      <c r="B47" s="305"/>
      <c r="C47" s="305"/>
      <c r="D47" s="305"/>
      <c r="E47" s="305"/>
      <c r="F47" s="305"/>
    </row>
    <row r="50" spans="1:4" x14ac:dyDescent="0.2">
      <c r="A50" s="432" t="s">
        <v>225</v>
      </c>
      <c r="B50" s="433"/>
      <c r="C50" s="312" t="s">
        <v>226</v>
      </c>
      <c r="D50" s="312" t="s">
        <v>227</v>
      </c>
    </row>
    <row r="51" spans="1:4" ht="14.25" x14ac:dyDescent="0.2">
      <c r="A51" s="440" t="s">
        <v>228</v>
      </c>
      <c r="B51" s="311" t="s">
        <v>131</v>
      </c>
      <c r="C51" s="313">
        <v>0.25</v>
      </c>
      <c r="D51" s="313" t="s">
        <v>137</v>
      </c>
    </row>
    <row r="52" spans="1:4" ht="14.25" x14ac:dyDescent="0.2">
      <c r="A52" s="441"/>
      <c r="B52" s="311" t="s">
        <v>142</v>
      </c>
      <c r="C52" s="313">
        <v>0.15</v>
      </c>
      <c r="D52" s="313" t="s">
        <v>137</v>
      </c>
    </row>
    <row r="53" spans="1:4" ht="14.25" x14ac:dyDescent="0.2">
      <c r="A53" s="442"/>
      <c r="B53" s="311" t="s">
        <v>153</v>
      </c>
      <c r="C53" s="313">
        <v>0.1</v>
      </c>
      <c r="D53" s="313" t="s">
        <v>156</v>
      </c>
    </row>
    <row r="54" spans="1:4" ht="14.25" x14ac:dyDescent="0.2">
      <c r="A54" s="311" t="s">
        <v>229</v>
      </c>
      <c r="B54" s="311" t="s">
        <v>132</v>
      </c>
      <c r="C54" s="313">
        <v>0.25</v>
      </c>
    </row>
    <row r="55" spans="1:4" ht="23.25" x14ac:dyDescent="0.2">
      <c r="A55" s="311" t="s">
        <v>230</v>
      </c>
      <c r="B55" s="311" t="s">
        <v>143</v>
      </c>
      <c r="C55" s="313">
        <v>0.15</v>
      </c>
    </row>
    <row r="58" spans="1:4" ht="15" x14ac:dyDescent="0.25">
      <c r="A58" t="s">
        <v>231</v>
      </c>
      <c r="B58"/>
      <c r="C58"/>
    </row>
    <row r="59" spans="1:4" x14ac:dyDescent="0.2">
      <c r="A59" s="432" t="s">
        <v>225</v>
      </c>
      <c r="B59" s="433"/>
      <c r="C59" s="315" t="s">
        <v>186</v>
      </c>
    </row>
    <row r="60" spans="1:4" ht="80.45" customHeight="1" x14ac:dyDescent="0.2">
      <c r="A60" s="434" t="s">
        <v>121</v>
      </c>
      <c r="B60" s="306" t="s">
        <v>133</v>
      </c>
      <c r="C60" s="306" t="s">
        <v>232</v>
      </c>
    </row>
    <row r="61" spans="1:4" ht="34.5" customHeight="1" x14ac:dyDescent="0.2">
      <c r="A61" s="435"/>
      <c r="B61" s="306" t="s">
        <v>144</v>
      </c>
      <c r="C61" s="306" t="s">
        <v>233</v>
      </c>
    </row>
    <row r="62" spans="1:4" ht="34.5" customHeight="1" x14ac:dyDescent="0.2">
      <c r="A62" s="436"/>
      <c r="B62" s="306" t="s">
        <v>154</v>
      </c>
      <c r="C62" s="306" t="s">
        <v>234</v>
      </c>
    </row>
    <row r="63" spans="1:4" ht="12.75" customHeight="1" x14ac:dyDescent="0.2">
      <c r="A63" s="306" t="s">
        <v>122</v>
      </c>
      <c r="B63" s="306" t="s">
        <v>235</v>
      </c>
      <c r="C63" s="306" t="s">
        <v>236</v>
      </c>
    </row>
    <row r="64" spans="1:4" ht="14.25" x14ac:dyDescent="0.2">
      <c r="A64" s="306"/>
      <c r="B64" s="306" t="s">
        <v>237</v>
      </c>
      <c r="C64" s="306"/>
    </row>
    <row r="65" spans="1:3" ht="14.25" x14ac:dyDescent="0.2">
      <c r="A65" s="306"/>
      <c r="B65" s="306" t="s">
        <v>238</v>
      </c>
      <c r="C65" s="306"/>
    </row>
    <row r="66" spans="1:3" ht="14.25" x14ac:dyDescent="0.2">
      <c r="A66" s="306"/>
      <c r="B66" s="306" t="s">
        <v>239</v>
      </c>
      <c r="C66" s="306"/>
    </row>
    <row r="67" spans="1:3" ht="14.25" x14ac:dyDescent="0.2">
      <c r="A67" s="306"/>
      <c r="B67" s="306" t="s">
        <v>240</v>
      </c>
      <c r="C67" s="306"/>
    </row>
    <row r="68" spans="1:3" ht="14.25" x14ac:dyDescent="0.2">
      <c r="A68" s="306"/>
      <c r="B68" s="306" t="s">
        <v>361</v>
      </c>
      <c r="C68" s="306"/>
    </row>
    <row r="69" spans="1:3" ht="14.25" x14ac:dyDescent="0.2">
      <c r="A69" s="306"/>
      <c r="B69" s="306" t="s">
        <v>360</v>
      </c>
      <c r="C69" s="306"/>
    </row>
    <row r="70" spans="1:3" ht="12.75" customHeight="1" x14ac:dyDescent="0.2">
      <c r="A70" s="306" t="s">
        <v>241</v>
      </c>
      <c r="B70" s="306" t="s">
        <v>135</v>
      </c>
      <c r="C70" s="306" t="s">
        <v>242</v>
      </c>
    </row>
    <row r="71" spans="1:3" ht="14.25" x14ac:dyDescent="0.2">
      <c r="A71" s="306"/>
      <c r="B71" s="306" t="s">
        <v>146</v>
      </c>
      <c r="C71" s="306"/>
    </row>
    <row r="72" spans="1:3" ht="38.25" x14ac:dyDescent="0.2">
      <c r="A72" s="306" t="s">
        <v>243</v>
      </c>
      <c r="B72" s="306" t="s">
        <v>136</v>
      </c>
      <c r="C72" s="306" t="s">
        <v>244</v>
      </c>
    </row>
    <row r="73" spans="1:3" ht="69" customHeight="1" x14ac:dyDescent="0.2">
      <c r="A73" s="306"/>
      <c r="B73" s="306" t="s">
        <v>245</v>
      </c>
      <c r="C73" s="306" t="s">
        <v>246</v>
      </c>
    </row>
    <row r="74" spans="1:3" ht="34.5" customHeight="1" x14ac:dyDescent="0.2">
      <c r="A74" s="306"/>
      <c r="B74" s="306" t="s">
        <v>155</v>
      </c>
      <c r="C74" s="306" t="s">
        <v>247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36"/>
  <sheetViews>
    <sheetView showGridLines="0" zoomScale="80" zoomScaleNormal="80" workbookViewId="0">
      <pane ySplit="8" topLeftCell="A9" activePane="bottomLeft" state="frozen"/>
      <selection pane="bottomLeft" activeCell="F10" sqref="F10"/>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hidden="1" customHeight="1" x14ac:dyDescent="0.2">
      <c r="A1" s="447" t="s">
        <v>93</v>
      </c>
      <c r="B1" s="447"/>
      <c r="C1" s="447"/>
      <c r="D1" s="447"/>
      <c r="E1" s="447"/>
      <c r="F1" s="447"/>
      <c r="G1" s="447"/>
      <c r="H1" s="447"/>
      <c r="I1" s="447"/>
      <c r="J1" s="447"/>
      <c r="K1" s="447"/>
    </row>
    <row r="2" spans="1:11" s="3" customFormat="1" ht="37.5" hidden="1" customHeight="1" x14ac:dyDescent="0.2">
      <c r="A2" s="330" t="s">
        <v>94</v>
      </c>
      <c r="B2" s="330"/>
      <c r="C2" s="443"/>
      <c r="D2" s="444"/>
      <c r="E2" s="444"/>
      <c r="F2" s="444"/>
      <c r="G2" s="444"/>
      <c r="H2" s="444"/>
      <c r="I2" s="444"/>
      <c r="J2" s="444"/>
      <c r="K2" s="445"/>
    </row>
    <row r="3" spans="1:11" s="3" customFormat="1" ht="3.95" hidden="1" customHeight="1" x14ac:dyDescent="0.2">
      <c r="A3" s="448"/>
      <c r="B3" s="449"/>
      <c r="C3" s="449"/>
      <c r="D3" s="449"/>
      <c r="E3" s="449"/>
      <c r="F3" s="449"/>
      <c r="G3" s="449"/>
      <c r="H3" s="449"/>
      <c r="I3" s="449"/>
      <c r="J3" s="449"/>
      <c r="K3" s="450"/>
    </row>
    <row r="4" spans="1:11" ht="27" hidden="1" customHeight="1" x14ac:dyDescent="0.25">
      <c r="A4" s="12" t="s">
        <v>95</v>
      </c>
      <c r="B4" s="339" t="s">
        <v>359</v>
      </c>
      <c r="C4" s="340"/>
      <c r="D4" s="325"/>
      <c r="E4" s="12" t="s">
        <v>96</v>
      </c>
      <c r="F4" s="325" t="s">
        <v>366</v>
      </c>
      <c r="G4" s="451" t="s">
        <v>367</v>
      </c>
      <c r="H4" s="452"/>
      <c r="I4" s="300" t="s">
        <v>16</v>
      </c>
      <c r="J4" s="328">
        <v>46003</v>
      </c>
      <c r="K4" s="329"/>
    </row>
    <row r="5" spans="1:11" ht="30" hidden="1" x14ac:dyDescent="0.25">
      <c r="A5" s="301" t="s">
        <v>97</v>
      </c>
      <c r="B5" s="331"/>
      <c r="C5" s="332"/>
      <c r="D5" s="333"/>
      <c r="E5" s="334" t="s">
        <v>98</v>
      </c>
      <c r="F5" s="335" t="s">
        <v>99</v>
      </c>
      <c r="G5" s="336">
        <v>46023</v>
      </c>
      <c r="H5" s="337"/>
      <c r="I5" s="338" t="s">
        <v>100</v>
      </c>
      <c r="J5" s="327">
        <v>46387</v>
      </c>
      <c r="K5" s="327"/>
    </row>
    <row r="6" spans="1:11" ht="15" hidden="1" x14ac:dyDescent="0.25">
      <c r="F6" s="220"/>
      <c r="G6" s="221"/>
      <c r="H6" s="221"/>
      <c r="I6" s="222"/>
      <c r="J6" s="223"/>
    </row>
    <row r="7" spans="1:11" ht="21" customHeight="1" x14ac:dyDescent="0.25">
      <c r="A7" s="446" t="s">
        <v>101</v>
      </c>
      <c r="B7" s="446" t="s">
        <v>102</v>
      </c>
      <c r="C7" s="446"/>
      <c r="D7" s="446"/>
      <c r="E7" s="446"/>
    </row>
    <row r="8" spans="1:11" ht="65.25" customHeight="1" x14ac:dyDescent="0.25">
      <c r="A8" s="446"/>
      <c r="B8" s="139" t="s">
        <v>103</v>
      </c>
      <c r="C8" s="139" t="s">
        <v>104</v>
      </c>
      <c r="D8" s="139" t="s">
        <v>105</v>
      </c>
      <c r="E8" s="139" t="s">
        <v>106</v>
      </c>
      <c r="F8" s="303" t="s">
        <v>107</v>
      </c>
      <c r="G8" s="301" t="s">
        <v>22</v>
      </c>
      <c r="H8" s="301" t="s">
        <v>108</v>
      </c>
      <c r="I8" s="301" t="s">
        <v>109</v>
      </c>
      <c r="J8" s="301" t="s">
        <v>28</v>
      </c>
      <c r="K8" s="322" t="s">
        <v>110</v>
      </c>
    </row>
    <row r="9" spans="1:11" s="5" customFormat="1" ht="145.5" customHeight="1" x14ac:dyDescent="0.25">
      <c r="A9" s="2" t="s">
        <v>362</v>
      </c>
      <c r="B9" s="2" t="s">
        <v>187</v>
      </c>
      <c r="C9" s="2" t="s">
        <v>191</v>
      </c>
      <c r="D9" s="156" t="str">
        <f>+IF(B9='11 FORMULAS'!$B$4,'11 FORMULAS'!$C$4,IF(B9='11 FORMULAS'!$B$6,'11 FORMULAS'!$C$6,IF(B9='11 FORMULAS'!$B$8,'11 FORMULAS'!$C$8,IF(B9='11 FORMULAS'!$B$10,'11 FORMULAS'!$C$10,""))))</f>
        <v/>
      </c>
      <c r="E9" s="302"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166</v>
      </c>
      <c r="G9" s="1" t="s">
        <v>178</v>
      </c>
      <c r="H9" s="323" t="s">
        <v>375</v>
      </c>
      <c r="I9" s="323" t="s">
        <v>379</v>
      </c>
      <c r="J9" s="326" t="str">
        <f>(CONCATENATE(Tabla1[[#This Row],[¿QUÉ? 
IMPACTO]]," ","por",Tabla1[[#This Row],[¿CÓMO?
CAUSA INMEDIATA 
(Iniciar con la palabra 
por)]]," ","a causa de"," ",Tabla1[[#This Row],[¿PORQUÉ?
CAUSA RAÍZ
(Iniciar con 
debido a/a causa de)]]))</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K9" s="324"/>
    </row>
    <row r="10" spans="1:11" s="5" customFormat="1" ht="167.25" customHeight="1" x14ac:dyDescent="0.25">
      <c r="A10" s="2" t="s">
        <v>363</v>
      </c>
      <c r="B10" s="2" t="s">
        <v>187</v>
      </c>
      <c r="C10" s="2" t="s">
        <v>191</v>
      </c>
      <c r="D10" s="156" t="str">
        <f>+IF(B10='11 FORMULAS'!$B$4,'11 FORMULAS'!$C$4,IF(B10='11 FORMULAS'!$B$6,'11 FORMULAS'!$C$6,IF(B10='11 FORMULAS'!$B$8,'11 FORMULAS'!$C$8,IF(B10='11 FORMULAS'!$B$10,'11 FORMULAS'!$C$10,""))))</f>
        <v/>
      </c>
      <c r="E10" s="302"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166</v>
      </c>
      <c r="G10" s="1" t="s">
        <v>178</v>
      </c>
      <c r="H10" s="323" t="s">
        <v>376</v>
      </c>
      <c r="I10" s="323" t="s">
        <v>380</v>
      </c>
      <c r="J10" s="326" t="str">
        <f>(CONCATENATE(Tabla1[[#This Row],[¿QUÉ? 
IMPACTO]]," ","por",Tabla1[[#This Row],[¿CÓMO?
CAUSA INMEDIATA 
(Iniciar con la palabra 
por)]]," ","a causa de"," ",Tabla1[[#This Row],[¿PORQUÉ?
CAUSA RAÍZ
(Iniciar con 
debido a/a causa de)]]))</f>
        <v>Posibilidad de afectación reputacional por la desarticulación a causa de la aprobación del Plan de Acción a causa de   de no integración de las metas establecidas en el Plan Estratégico Institucional y las actividades de los planes del Decreto 612 de 2018</v>
      </c>
      <c r="K10" s="324"/>
    </row>
    <row r="11" spans="1:11" s="5" customFormat="1" ht="167.25" customHeight="1" x14ac:dyDescent="0.25">
      <c r="A11" s="2" t="s">
        <v>377</v>
      </c>
      <c r="B11" s="2" t="s">
        <v>187</v>
      </c>
      <c r="C11" s="2" t="s">
        <v>191</v>
      </c>
      <c r="D11" s="156" t="str">
        <f>+IF(B11='11 FORMULAS'!$B$4,'11 FORMULAS'!$C$4,IF(B11='11 FORMULAS'!$B$6,'11 FORMULAS'!$C$6,IF(B11='11 FORMULAS'!$B$8,'11 FORMULAS'!$C$8,IF(B11='11 FORMULAS'!$B$10,'11 FORMULAS'!$C$10,""))))</f>
        <v/>
      </c>
      <c r="E11" s="302"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166</v>
      </c>
      <c r="G11" s="1" t="s">
        <v>181</v>
      </c>
      <c r="H11" s="323" t="s">
        <v>378</v>
      </c>
      <c r="I11" s="323" t="s">
        <v>364</v>
      </c>
      <c r="J11" s="326" t="str">
        <f>(CONCATENATE(Tabla1[[#This Row],[¿QUÉ? 
IMPACTO]]," ","por",Tabla1[[#This Row],[¿CÓMO?
CAUSA INMEDIATA 
(Iniciar con la palabra 
por)]]," ","a causa de"," ",Tabla1[[#This Row],[¿PORQUÉ?
CAUSA RAÍZ
(Iniciar con 
debido a/a causa de)]]))</f>
        <v>Posibilidad de afectación económica y reputacional porel rezago en la ejecución de los proyectos de inversión  a causa de  el desconocimiento de dichos requisitos por parte del talento humano responsable en la entidad</v>
      </c>
      <c r="K11" s="325"/>
    </row>
    <row r="12" spans="1:11" ht="189.75" customHeight="1" x14ac:dyDescent="0.25">
      <c r="A12" s="2" t="s">
        <v>369</v>
      </c>
      <c r="B12" s="2" t="s">
        <v>187</v>
      </c>
      <c r="C12" s="2" t="s">
        <v>191</v>
      </c>
      <c r="D12" s="156" t="str">
        <f>+IF(B12='11 FORMULAS'!$B$4,'11 FORMULAS'!$C$4,IF(B12='11 FORMULAS'!$B$6,'11 FORMULAS'!$C$6,IF(B12='11 FORMULAS'!$B$8,'11 FORMULAS'!$C$8,IF(B12='11 FORMULAS'!$B$10,'11 FORMULAS'!$C$10,""))))</f>
        <v/>
      </c>
      <c r="E12" s="302"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166</v>
      </c>
      <c r="G12" s="1" t="s">
        <v>178</v>
      </c>
      <c r="H12" s="323" t="s">
        <v>370</v>
      </c>
      <c r="I12" s="323" t="s">
        <v>371</v>
      </c>
      <c r="J12" s="326" t="str">
        <f>(CONCATENATE(Tabla1[[#This Row],[¿QUÉ? 
IMPACTO]]," ","por",Tabla1[[#This Row],[¿CÓMO?
CAUSA INMEDIATA 
(Iniciar con la palabra 
por)]]," ","a causa de"," ",Tabla1[[#This Row],[¿PORQUÉ?
CAUSA RAÍZ
(Iniciar con 
debido a/a causa de)]]))</f>
        <v>Posibilidad de afectación reputacional por falta de coordinación y liderazgo interno relacionado con el tema de innovación
 a causa de   la inexistencia de una politica actualizada que se ajuste  a las necesidades  de la entidad y el sector</v>
      </c>
      <c r="K12" s="325"/>
    </row>
    <row r="13" spans="1:11" s="6" customFormat="1" ht="18" x14ac:dyDescent="0.25">
      <c r="F13" s="7"/>
      <c r="G13" s="7"/>
      <c r="H13" s="7"/>
      <c r="I13" s="7"/>
      <c r="J13" s="8"/>
    </row>
    <row r="14" spans="1:11" x14ac:dyDescent="0.2">
      <c r="F14" s="3"/>
      <c r="G14" s="3"/>
      <c r="H14" s="3"/>
      <c r="I14" s="3"/>
    </row>
    <row r="15" spans="1:11" x14ac:dyDescent="0.2">
      <c r="F15" s="3"/>
      <c r="G15" s="3"/>
      <c r="H15" s="3"/>
      <c r="I15" s="3"/>
    </row>
    <row r="16" spans="1:11" x14ac:dyDescent="0.25">
      <c r="F16" s="9"/>
      <c r="G16" s="9"/>
      <c r="H16" s="9"/>
      <c r="I16" s="9"/>
    </row>
    <row r="17" spans="6:26" x14ac:dyDescent="0.2">
      <c r="F17" s="3"/>
      <c r="G17" s="3"/>
      <c r="H17" s="3"/>
      <c r="I17" s="3"/>
    </row>
    <row r="18" spans="6:26" x14ac:dyDescent="0.2">
      <c r="F18" s="3"/>
      <c r="G18" s="3"/>
      <c r="H18" s="3"/>
      <c r="I18" s="3"/>
    </row>
    <row r="19" spans="6:26" x14ac:dyDescent="0.2">
      <c r="F19" s="3"/>
      <c r="G19" s="3"/>
      <c r="H19" s="3"/>
      <c r="I19" s="3"/>
    </row>
    <row r="23" spans="6:26" ht="14.25" customHeight="1" x14ac:dyDescent="0.25"/>
    <row r="27" spans="6:26" ht="14.25" customHeight="1" x14ac:dyDescent="0.25">
      <c r="X27" s="10"/>
    </row>
    <row r="28" spans="6:26" x14ac:dyDescent="0.25">
      <c r="Z28" s="10"/>
    </row>
    <row r="29" spans="6:26" x14ac:dyDescent="0.25">
      <c r="Z29" s="10"/>
    </row>
    <row r="30" spans="6:26" x14ac:dyDescent="0.25">
      <c r="Z30" s="10"/>
    </row>
    <row r="31" spans="6:26" x14ac:dyDescent="0.25">
      <c r="Z31" s="10"/>
    </row>
    <row r="32" spans="6:26" x14ac:dyDescent="0.25">
      <c r="Z32" s="10"/>
    </row>
    <row r="33" spans="26:26" x14ac:dyDescent="0.25">
      <c r="Z33" s="10"/>
    </row>
    <row r="34" spans="26:26" x14ac:dyDescent="0.25">
      <c r="Z34" s="10"/>
    </row>
    <row r="35" spans="26:26" ht="14.25" customHeight="1" x14ac:dyDescent="0.25">
      <c r="Z35" s="10"/>
    </row>
    <row r="36" spans="26:26" x14ac:dyDescent="0.25">
      <c r="Z36" s="10"/>
    </row>
  </sheetData>
  <sheetProtection formatCells="0" formatColumns="0" formatRows="0" sort="0" autoFilter="0" pivotTables="0"/>
  <mergeCells count="6">
    <mergeCell ref="C2:K2"/>
    <mergeCell ref="B7:E7"/>
    <mergeCell ref="A7:A8"/>
    <mergeCell ref="A1:K1"/>
    <mergeCell ref="A3:K3"/>
    <mergeCell ref="G4:H4"/>
  </mergeCells>
  <phoneticPr fontId="16" type="noConversion"/>
  <dataValidations count="2">
    <dataValidation type="list" allowBlank="1" showInputMessage="1" showErrorMessage="1" sqref="C9:C12" xr:uid="{D9BA5455-7B14-6A4C-B584-466EF5ACA124}">
      <formula1>INDIRECT(B9)</formula1>
    </dataValidation>
    <dataValidation type="list" allowBlank="1" showInputMessage="1" showErrorMessage="1" sqref="G9:G12"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F9:F12</xm:sqref>
        </x14:dataValidation>
        <x14:dataValidation type="list" allowBlank="1" showInputMessage="1" showErrorMessage="1" xr:uid="{00000000-0002-0000-0100-000006000000}">
          <x14:formula1>
            <xm:f>'11 FORMULAS'!$A$38:$F$38</xm:f>
          </x14:formula1>
          <xm:sqref>B9:B12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9"/>
  <sheetViews>
    <sheetView showGridLines="0" view="pageBreakPreview" zoomScale="90" zoomScaleNormal="55" zoomScaleSheetLayoutView="90" workbookViewId="0">
      <pane ySplit="8" topLeftCell="A12" activePane="bottomLeft" state="frozen"/>
      <selection pane="bottomLeft" activeCell="C13" sqref="C13"/>
    </sheetView>
  </sheetViews>
  <sheetFormatPr baseColWidth="10" defaultColWidth="14.42578125" defaultRowHeight="14.25" x14ac:dyDescent="0.25"/>
  <cols>
    <col min="1" max="1" width="15.42578125" style="4" customWidth="1"/>
    <col min="2" max="2" width="60"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2" customWidth="1"/>
    <col min="14" max="14" width="11" style="202"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60"/>
      <c r="B1" s="461" t="str">
        <f>+'2 CONTEXTO E IDENTIFICACIÓN'!A1</f>
        <v>MAPA DE RIESGOS</v>
      </c>
      <c r="C1" s="472"/>
      <c r="D1" s="473"/>
      <c r="E1" s="13"/>
      <c r="G1" s="13"/>
      <c r="H1" s="13"/>
      <c r="I1" s="13"/>
      <c r="J1" s="13"/>
      <c r="K1" s="13"/>
      <c r="L1" s="13"/>
      <c r="M1" s="197"/>
      <c r="N1" s="197"/>
    </row>
    <row r="2" spans="1:25" s="3" customFormat="1" ht="32.25" customHeight="1" x14ac:dyDescent="0.2">
      <c r="A2" s="460"/>
      <c r="B2" s="461"/>
      <c r="C2" s="39" t="str">
        <f>+'2 CONTEXTO E IDENTIFICACIÓN'!A2</f>
        <v>VERSIÓN:</v>
      </c>
      <c r="D2" s="39">
        <f>'2 CONTEXTO E IDENTIFICACIÓN'!B2</f>
        <v>0</v>
      </c>
      <c r="E2" s="13"/>
      <c r="G2" s="211" t="str">
        <f>+'2 CONTEXTO E IDENTIFICACIÓN'!$I$4</f>
        <v>Elaboración o Actualización:</v>
      </c>
      <c r="H2" s="227">
        <f>'2 CONTEXTO E IDENTIFICACIÓN'!J4</f>
        <v>46003</v>
      </c>
      <c r="I2" s="13"/>
      <c r="J2" s="13"/>
      <c r="K2" s="13"/>
      <c r="L2" s="13"/>
      <c r="M2" s="197"/>
      <c r="N2" s="197"/>
      <c r="R2" s="163"/>
      <c r="S2" s="163"/>
    </row>
    <row r="3" spans="1:25" s="3" customFormat="1" ht="15" x14ac:dyDescent="0.2">
      <c r="A3" s="224"/>
      <c r="B3" s="15"/>
      <c r="C3" s="217"/>
      <c r="D3" s="41"/>
      <c r="E3" s="13"/>
      <c r="G3" s="225"/>
      <c r="H3" s="226"/>
      <c r="I3" s="13"/>
      <c r="J3" s="13"/>
      <c r="K3" s="13"/>
      <c r="L3" s="13"/>
      <c r="M3" s="197"/>
      <c r="N3" s="197"/>
      <c r="R3" s="163"/>
      <c r="S3" s="163"/>
    </row>
    <row r="4" spans="1:25" s="3" customFormat="1" ht="32.25" customHeight="1" x14ac:dyDescent="0.2">
      <c r="A4" s="12" t="s">
        <v>95</v>
      </c>
      <c r="B4" s="321" t="str">
        <f>'2 CONTEXTO E IDENTIFICACIÓN'!B4</f>
        <v>SUPERSOLIDARIA</v>
      </c>
      <c r="C4" s="470"/>
      <c r="D4" s="471"/>
      <c r="E4" s="13"/>
      <c r="G4" s="216" t="str">
        <f>+'2 CONTEXTO E IDENTIFICACIÓN'!$E$5</f>
        <v xml:space="preserve">Vigencia: </v>
      </c>
      <c r="H4" s="214">
        <f>'2 CONTEXTO E IDENTIFICACIÓN'!G5</f>
        <v>46023</v>
      </c>
      <c r="I4" s="215" t="s">
        <v>100</v>
      </c>
      <c r="J4" s="212">
        <f>'2 CONTEXTO E IDENTIFICACIÓN'!J5</f>
        <v>46387</v>
      </c>
      <c r="K4" s="13"/>
      <c r="L4" s="13"/>
      <c r="M4" s="197"/>
      <c r="N4" s="197"/>
      <c r="R4" s="163"/>
      <c r="S4" s="163"/>
    </row>
    <row r="5" spans="1:25" s="3" customFormat="1" ht="15.75" thickBot="1" x14ac:dyDescent="0.25">
      <c r="A5" s="12" t="s">
        <v>96</v>
      </c>
      <c r="B5" s="462" t="str">
        <f>'2 CONTEXTO E IDENTIFICACIÓN'!F4</f>
        <v>PLES</v>
      </c>
      <c r="C5" s="463"/>
      <c r="D5" s="463"/>
      <c r="E5" s="16"/>
      <c r="F5" s="16"/>
      <c r="R5" s="163"/>
      <c r="S5" s="163"/>
    </row>
    <row r="6" spans="1:25" s="3" customFormat="1" ht="15.75" thickBot="1" x14ac:dyDescent="0.25">
      <c r="A6" s="228"/>
      <c r="B6" s="229"/>
      <c r="C6" s="219"/>
      <c r="D6" s="219"/>
      <c r="E6" s="16"/>
      <c r="F6" s="16"/>
      <c r="G6" s="464" t="s">
        <v>248</v>
      </c>
      <c r="H6" s="465"/>
      <c r="I6" s="465"/>
      <c r="J6" s="465"/>
      <c r="K6" s="465"/>
      <c r="L6" s="465"/>
      <c r="M6" s="465"/>
      <c r="N6" s="466"/>
      <c r="R6" s="163"/>
      <c r="S6" s="163"/>
    </row>
    <row r="7" spans="1:25" s="19" customFormat="1" ht="14.25" customHeight="1" thickBot="1" x14ac:dyDescent="0.3">
      <c r="A7" s="17"/>
      <c r="B7" s="18"/>
      <c r="C7" s="464" t="s">
        <v>249</v>
      </c>
      <c r="D7" s="465"/>
      <c r="E7" s="465"/>
      <c r="F7" s="466"/>
      <c r="G7" s="467" t="s">
        <v>39</v>
      </c>
      <c r="H7" s="468"/>
      <c r="I7" s="469"/>
      <c r="J7" s="467" t="s">
        <v>41</v>
      </c>
      <c r="K7" s="468"/>
      <c r="L7" s="469"/>
      <c r="M7" s="467" t="s">
        <v>250</v>
      </c>
      <c r="N7" s="469"/>
      <c r="P7" s="456" t="s">
        <v>251</v>
      </c>
      <c r="Q7" s="457"/>
      <c r="R7" s="458"/>
      <c r="S7" s="458"/>
      <c r="T7" s="459"/>
      <c r="V7" s="453" t="s">
        <v>252</v>
      </c>
      <c r="W7" s="454"/>
      <c r="X7" s="454"/>
      <c r="Y7" s="455"/>
    </row>
    <row r="8" spans="1:25" s="141" customFormat="1" ht="57" x14ac:dyDescent="0.25">
      <c r="A8" s="179" t="s">
        <v>253</v>
      </c>
      <c r="B8" s="178" t="s">
        <v>254</v>
      </c>
      <c r="C8" s="193" t="s">
        <v>37</v>
      </c>
      <c r="D8" s="194" t="s">
        <v>255</v>
      </c>
      <c r="E8" s="195" t="s">
        <v>256</v>
      </c>
      <c r="F8" s="196" t="s">
        <v>257</v>
      </c>
      <c r="G8" s="168" t="s">
        <v>39</v>
      </c>
      <c r="H8" s="169" t="s">
        <v>258</v>
      </c>
      <c r="I8" s="172" t="s">
        <v>259</v>
      </c>
      <c r="J8" s="168" t="s">
        <v>41</v>
      </c>
      <c r="K8" s="169" t="s">
        <v>258</v>
      </c>
      <c r="L8" s="172" t="s">
        <v>259</v>
      </c>
      <c r="M8" s="168" t="s">
        <v>260</v>
      </c>
      <c r="N8" s="170" t="s">
        <v>261</v>
      </c>
      <c r="P8" s="21" t="s">
        <v>259</v>
      </c>
      <c r="Q8" s="22" t="s">
        <v>255</v>
      </c>
      <c r="R8" s="160" t="s">
        <v>262</v>
      </c>
      <c r="S8" s="160" t="s">
        <v>263</v>
      </c>
      <c r="T8" s="23" t="s">
        <v>137</v>
      </c>
      <c r="V8" s="21" t="s">
        <v>259</v>
      </c>
      <c r="W8" s="22" t="s">
        <v>264</v>
      </c>
      <c r="X8" s="22" t="s">
        <v>265</v>
      </c>
      <c r="Y8" s="23" t="s">
        <v>41</v>
      </c>
    </row>
    <row r="9" spans="1:25" ht="114" customHeight="1" x14ac:dyDescent="0.25">
      <c r="A9" s="24" t="str">
        <f>'2 CONTEXTO E IDENTIFICACIÓN'!A9</f>
        <v>PLES-1</v>
      </c>
      <c r="B9" s="189" t="str">
        <f>+'2 CONTEXTO E IDENTIFICACIÓN'!J9</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C9" s="190">
        <f>+(4*7)</f>
        <v>28</v>
      </c>
      <c r="D9" s="164" t="str">
        <f t="shared" ref="D9:D28" si="0">+IF(C9="","",IF(C9&lt;=$S$9,$Q$9,IF(C9&lt;=$S$10,$Q$10,IF(C9&lt;=$S$11,$Q$11,IF(C9&lt;=$S$12,$Q$12,IF(C9&gt;=$R$13,$Q$13,""))))))</f>
        <v>La actividad que conlleva el riesgo se ejecuta de 24 a 500 veces por año</v>
      </c>
      <c r="E9" s="165">
        <f t="shared" ref="E9:E28" si="1">+IF(D9="","",IF(D9=$Q$9,$T$9,IF(D9=$Q$10,$T$10,IF(D9=$Q$11,$T$11,IF(D9=$Q$12,$T$12,IF(D9=$Q$13,$T$13))))))</f>
        <v>0.6</v>
      </c>
      <c r="F9" s="25" t="str">
        <f t="shared" ref="F9:F28" si="2">+IF(D9="","",IF(D9=$Q$9,$P$9,IF(D9=$Q$10,$P$10,IF(D9=$Q$11,$P$11,IF(D9=$Q$12,$P$12,IF(D9=$Q$13,$P$13))))))</f>
        <v>Media</v>
      </c>
      <c r="G9" s="175" t="s">
        <v>279</v>
      </c>
      <c r="H9" s="167">
        <f>+IF(G9="","",IF(G9="N/A","",IF(OR(G9=$X$9,G9=$Y$9),$W$9,IF(OR(G9=$X$10,G9=$Y$10),$W$10,IF(OR(G9=$X$11,G9=$Y$11),$W$11,IF(OR(G9=$X$12,G9=$Y$12),$W$12,IF(OR(G9=$X$13,G9=$Y$13),$W$13)))))))</f>
        <v>0.6</v>
      </c>
      <c r="I9" s="173" t="str">
        <f t="shared" ref="I9:I28" si="3">+IF(G9="","",IF(G9="N/A","",IF(OR(G9=$X$9,G9=$Y$9),$V$9,IF(OR(G9=$X$10,G9=$Y$10),$V$10,IF(OR(G9=$X$11,G9=$Y$11),$V$11,IF(OR(G9=$X$12,G9=$Y$12),$V$12,IF(OR(G9=$X$13,G9=$Y$13),$V$13)))))))</f>
        <v>Moderado</v>
      </c>
      <c r="J9" s="175" t="s">
        <v>280</v>
      </c>
      <c r="K9" s="167">
        <f t="shared" ref="K9:K28" si="4">+IF(J9="","",IF(J9="N/A","",IF(OR(J9=$X$9,J9=$Y$9),$W$9,IF(OR(J9=$X$10,J9=$Y$10),$W$10,IF(OR(J9=$X$11,J9=$Y$11),$W$11,IF(OR(J9=$X$12,J9=$Y$12),$W$12,IF(OR(J9=$X$13,J9=$Y$13),$W$13)))))))</f>
        <v>0.6</v>
      </c>
      <c r="L9" s="173" t="str">
        <f t="shared" ref="L9:L28" si="5">+IF(J9="","",IF(J9="N/A","",IF(OR(J9=$X$9,J9=$Y$9),$V$9,IF(OR(J9=$X$10,J9=$Y$10),$V$10,IF(OR(J9=$X$11,J9=$Y$11),$V$11,IF(OR(J9=$X$12,J9=$Y$12),$V$12,IF(OR(J9=$X$13,J9=$Y$13),$V$13)))))))</f>
        <v>Moderado</v>
      </c>
      <c r="M9" s="198">
        <f>+IF(H9="",K9,IF(K9="",H9,IF(H9&gt;K9,H9,K9)))</f>
        <v>0.6</v>
      </c>
      <c r="N9" s="199" t="str">
        <f>+IF(M9="","",IF(M9=$W$9,$V$9,IF(M9=$W$10,$V$10,IF(M9=$W$11,$V$11,IF(M9=$W$12,$V$12,IF(M9=$W$13,$V$13))))))</f>
        <v>Moderado</v>
      </c>
      <c r="P9" s="296" t="s">
        <v>268</v>
      </c>
      <c r="Q9" s="26" t="s">
        <v>269</v>
      </c>
      <c r="R9" s="161">
        <v>0</v>
      </c>
      <c r="S9" s="161">
        <v>2</v>
      </c>
      <c r="T9" s="27">
        <v>0.2</v>
      </c>
      <c r="V9" s="296" t="s">
        <v>270</v>
      </c>
      <c r="W9" s="28">
        <v>0.2</v>
      </c>
      <c r="X9" s="26" t="s">
        <v>271</v>
      </c>
      <c r="Y9" s="29" t="s">
        <v>267</v>
      </c>
    </row>
    <row r="10" spans="1:25" ht="75" x14ac:dyDescent="0.25">
      <c r="A10" s="24" t="str">
        <f>'2 CONTEXTO E IDENTIFICACIÓN'!A10</f>
        <v>PLES-2</v>
      </c>
      <c r="B10" s="189" t="str">
        <f>+'2 CONTEXTO E IDENTIFICACIÓN'!J10</f>
        <v>Posibilidad de afectación reputacional por la desarticulación a causa de la aprobación del Plan de Acción a causa de   de no integración de las metas establecidas en el Plan Estratégico Institucional y las actividades de los planes del Decreto 612 de 2018</v>
      </c>
      <c r="C10" s="190">
        <f>+(4*7)</f>
        <v>28</v>
      </c>
      <c r="D10" s="164" t="str">
        <f t="shared" si="0"/>
        <v>La actividad que conlleva el riesgo se ejecuta de 24 a 500 veces por año</v>
      </c>
      <c r="E10" s="165">
        <f t="shared" si="1"/>
        <v>0.6</v>
      </c>
      <c r="F10" s="25" t="str">
        <f t="shared" si="2"/>
        <v>Media</v>
      </c>
      <c r="G10" s="175" t="s">
        <v>279</v>
      </c>
      <c r="H10" s="167">
        <f t="shared" ref="H10:H28" si="6">+IF(G10="","",IF(G10="N/A","",IF(OR(G10=$X$9,G10=$Y$9),$W$9,IF(OR(G10=$X$10,G10=$Y$10),$W$10,IF(OR(G10=$X$11,G10=$Y$11),$W$11,IF(OR(G10=$X$12,G10=$Y$12),$W$12,IF(OR(G10=$X$13,G10=$Y$13),$W$13)))))))</f>
        <v>0.6</v>
      </c>
      <c r="I10" s="173" t="str">
        <f t="shared" si="3"/>
        <v>Moderado</v>
      </c>
      <c r="J10" s="175" t="s">
        <v>280</v>
      </c>
      <c r="K10" s="167">
        <f t="shared" si="4"/>
        <v>0.6</v>
      </c>
      <c r="L10" s="173" t="str">
        <f t="shared" si="5"/>
        <v>Moderado</v>
      </c>
      <c r="M10" s="198">
        <f>+IF(H10="",K10,IF(K10="",H10,IF(H10&gt;K10,H10,K10)))</f>
        <v>0.6</v>
      </c>
      <c r="N10" s="199" t="str">
        <f t="shared" ref="N10:N28" si="7">+IF(M10="","",IF(M10=$W$9,$V$9,IF(M10=$W$10,$V$10,IF(M10=$W$11,$V$11,IF(M10=$W$12,$V$12,IF(M10=$W$13,$V$13))))))</f>
        <v>Moderado</v>
      </c>
      <c r="P10" s="297" t="s">
        <v>272</v>
      </c>
      <c r="Q10" s="30" t="s">
        <v>273</v>
      </c>
      <c r="R10" s="161">
        <v>3</v>
      </c>
      <c r="S10" s="161">
        <v>24</v>
      </c>
      <c r="T10" s="27">
        <v>0.4</v>
      </c>
      <c r="V10" s="297" t="s">
        <v>274</v>
      </c>
      <c r="W10" s="28">
        <v>0.4</v>
      </c>
      <c r="X10" s="30" t="s">
        <v>266</v>
      </c>
      <c r="Y10" s="31" t="s">
        <v>275</v>
      </c>
    </row>
    <row r="11" spans="1:25" ht="114" customHeight="1" x14ac:dyDescent="0.25">
      <c r="A11" s="352" t="str">
        <f>'2 CONTEXTO E IDENTIFICACIÓN'!A11</f>
        <v>PLES-5</v>
      </c>
      <c r="B11" s="189" t="str">
        <f>+'2 CONTEXTO E IDENTIFICACIÓN'!J11</f>
        <v>Posibilidad de afectación económica y reputacional porel rezago en la ejecución de los proyectos de inversión  a causa de  el desconocimiento de dichos requisitos por parte del talento humano responsable en la entidad</v>
      </c>
      <c r="C11" s="190">
        <f>+(4*7)</f>
        <v>28</v>
      </c>
      <c r="D11" s="164" t="str">
        <f t="shared" si="0"/>
        <v>La actividad que conlleva el riesgo se ejecuta de 24 a 500 veces por año</v>
      </c>
      <c r="E11" s="165">
        <f t="shared" si="1"/>
        <v>0.6</v>
      </c>
      <c r="F11" s="25" t="str">
        <f t="shared" si="2"/>
        <v>Media</v>
      </c>
      <c r="G11" s="175" t="s">
        <v>279</v>
      </c>
      <c r="H11" s="167">
        <f t="shared" si="6"/>
        <v>0.6</v>
      </c>
      <c r="I11" s="173" t="str">
        <f t="shared" si="3"/>
        <v>Moderado</v>
      </c>
      <c r="J11" s="175" t="s">
        <v>280</v>
      </c>
      <c r="K11" s="167">
        <f t="shared" si="4"/>
        <v>0.6</v>
      </c>
      <c r="L11" s="173" t="str">
        <f t="shared" si="5"/>
        <v>Moderado</v>
      </c>
      <c r="M11" s="198">
        <f t="shared" ref="M11:M28" si="8">+IF(H11="",K11,IF(K11="",H11,IF(H11&gt;K11,H11,K11)))</f>
        <v>0.6</v>
      </c>
      <c r="N11" s="199" t="str">
        <f t="shared" si="7"/>
        <v>Moderado</v>
      </c>
      <c r="P11" s="298" t="s">
        <v>276</v>
      </c>
      <c r="Q11" s="30" t="s">
        <v>277</v>
      </c>
      <c r="R11" s="161">
        <v>25</v>
      </c>
      <c r="S11" s="161">
        <v>500</v>
      </c>
      <c r="T11" s="27">
        <v>0.6</v>
      </c>
      <c r="V11" s="298" t="s">
        <v>278</v>
      </c>
      <c r="W11" s="28">
        <v>0.6</v>
      </c>
      <c r="X11" s="30" t="s">
        <v>279</v>
      </c>
      <c r="Y11" s="31" t="s">
        <v>280</v>
      </c>
    </row>
    <row r="12" spans="1:25" ht="114" customHeight="1" x14ac:dyDescent="0.25">
      <c r="A12" s="352" t="str">
        <f>'2 CONTEXTO E IDENTIFICACIÓN'!A12</f>
        <v>PLES-4</v>
      </c>
      <c r="B12" s="189" t="str">
        <f>+'2 CONTEXTO E IDENTIFICACIÓN'!J12</f>
        <v>Posibilidad de afectación reputacional por falta de coordinación y liderazgo interno relacionado con el tema de innovación
 a causa de   la inexistencia de una politica actualizada que se ajuste  a las necesidades  de la entidad y el sector</v>
      </c>
      <c r="C12" s="191">
        <v>4</v>
      </c>
      <c r="D12" s="164" t="str">
        <f>+IF(C12="","",IF(C12&lt;=$S$9,$Q$9,IF(C12&lt;=$S$10,$Q$10,IF(C12&lt;=$S$11,$Q$11,IF(C12&lt;=$S$12,$Q$12,IF(C12&gt;=$R$13,$Q$13,""))))))</f>
        <v>La actividad que conlleva el riesgo se ejecuta de 3 a 24 veces por año</v>
      </c>
      <c r="E12" s="165">
        <f t="shared" si="1"/>
        <v>0.4</v>
      </c>
      <c r="F12" s="25" t="str">
        <f t="shared" si="2"/>
        <v>Baja</v>
      </c>
      <c r="G12" s="175" t="s">
        <v>271</v>
      </c>
      <c r="H12" s="167">
        <f t="shared" ref="H12" si="9">+IF(G12="","",IF(G12="N/A","",IF(OR(G12=$X$9,G12=$Y$9),$W$9,IF(OR(G12=$X$10,G12=$Y$10),$W$10,IF(OR(G12=$X$11,G12=$Y$11),$W$11,IF(OR(G12=$X$12,G12=$Y$12),$W$12,IF(OR(G12=$X$13,G12=$Y$13),$W$13)))))))</f>
        <v>0.2</v>
      </c>
      <c r="I12" s="173" t="str">
        <f t="shared" ref="I12" si="10">+IF(G12="","",IF(G12="N/A","",IF(OR(G12=$X$9,G12=$Y$9),$V$9,IF(OR(G12=$X$10,G12=$Y$10),$V$10,IF(OR(G12=$X$11,G12=$Y$11),$V$11,IF(OR(G12=$X$12,G12=$Y$12),$V$12,IF(OR(G12=$X$13,G12=$Y$13),$V$13)))))))</f>
        <v>Leve</v>
      </c>
      <c r="J12" s="175" t="s">
        <v>275</v>
      </c>
      <c r="K12" s="167">
        <f t="shared" ref="K12" si="11">+IF(J12="","",IF(J12="N/A","",IF(OR(J12=$X$9,J12=$Y$9),$W$9,IF(OR(J12=$X$10,J12=$Y$10),$W$10,IF(OR(J12=$X$11,J12=$Y$11),$W$11,IF(OR(J12=$X$12,J12=$Y$12),$W$12,IF(OR(J12=$X$13,J12=$Y$13),$W$13)))))))</f>
        <v>0.4</v>
      </c>
      <c r="L12" s="173" t="str">
        <f t="shared" ref="L12" si="12">+IF(J12="","",IF(J12="N/A","",IF(OR(J12=$X$9,J12=$Y$9),$V$9,IF(OR(J12=$X$10,J12=$Y$10),$V$10,IF(OR(J12=$X$11,J12=$Y$11),$V$11,IF(OR(J12=$X$12,J12=$Y$12),$V$12,IF(OR(J12=$X$13,J12=$Y$13),$V$13)))))))</f>
        <v>Menor</v>
      </c>
      <c r="M12" s="198">
        <f t="shared" ref="M12" si="13">+IF(H12="",K12,IF(K12="",H12,IF(H12&gt;K12,H12,K12)))</f>
        <v>0.4</v>
      </c>
      <c r="N12" s="199" t="str">
        <f t="shared" ref="N12" si="14">+IF(M12="","",IF(M12=$W$9,$V$9,IF(M12=$W$10,$V$10,IF(M12=$W$11,$V$11,IF(M12=$W$12,$V$12,IF(M12=$W$13,$V$13))))))</f>
        <v>Menor</v>
      </c>
      <c r="P12" s="32" t="s">
        <v>281</v>
      </c>
      <c r="Q12" s="30" t="s">
        <v>282</v>
      </c>
      <c r="R12" s="161">
        <v>5001</v>
      </c>
      <c r="S12" s="161">
        <v>5000</v>
      </c>
      <c r="T12" s="27">
        <v>0.8</v>
      </c>
      <c r="V12" s="32" t="s">
        <v>283</v>
      </c>
      <c r="W12" s="28">
        <v>0.8</v>
      </c>
      <c r="X12" s="30" t="s">
        <v>284</v>
      </c>
      <c r="Y12" s="31" t="s">
        <v>285</v>
      </c>
    </row>
    <row r="13" spans="1:25" ht="114" customHeight="1" x14ac:dyDescent="0.25">
      <c r="A13" s="24"/>
      <c r="B13" s="189"/>
      <c r="C13" s="191"/>
      <c r="D13" s="164"/>
      <c r="E13" s="165"/>
      <c r="F13" s="25"/>
      <c r="G13" s="175"/>
      <c r="H13" s="167"/>
      <c r="I13" s="173"/>
      <c r="J13" s="175"/>
      <c r="K13" s="167"/>
      <c r="L13" s="173"/>
      <c r="M13" s="198"/>
      <c r="N13" s="199"/>
      <c r="P13" s="299" t="s">
        <v>286</v>
      </c>
      <c r="Q13" s="30" t="s">
        <v>287</v>
      </c>
      <c r="R13" s="161">
        <v>5001</v>
      </c>
      <c r="S13" s="161"/>
      <c r="T13" s="27">
        <v>1</v>
      </c>
      <c r="V13" s="299" t="s">
        <v>288</v>
      </c>
      <c r="W13" s="28">
        <v>1</v>
      </c>
      <c r="X13" s="30" t="s">
        <v>289</v>
      </c>
      <c r="Y13" s="31" t="s">
        <v>290</v>
      </c>
    </row>
    <row r="14" spans="1:25" ht="93" hidden="1" customHeight="1" thickBot="1" x14ac:dyDescent="0.3">
      <c r="A14" s="24" t="e">
        <f>'2 CONTEXTO E IDENTIFICACIÓN'!#REF!</f>
        <v>#REF!</v>
      </c>
      <c r="B14" s="189" t="e">
        <f>+'2 CONTEXTO E IDENTIFICACIÓN'!#REF!</f>
        <v>#REF!</v>
      </c>
      <c r="C14" s="191"/>
      <c r="D14" s="164" t="str">
        <f t="shared" si="0"/>
        <v/>
      </c>
      <c r="E14" s="165" t="str">
        <f t="shared" si="1"/>
        <v/>
      </c>
      <c r="F14" s="25" t="str">
        <f t="shared" si="2"/>
        <v/>
      </c>
      <c r="G14" s="175"/>
      <c r="H14" s="167" t="str">
        <f t="shared" si="6"/>
        <v/>
      </c>
      <c r="I14" s="173" t="str">
        <f t="shared" si="3"/>
        <v/>
      </c>
      <c r="J14" s="175"/>
      <c r="K14" s="167" t="str">
        <f t="shared" si="4"/>
        <v/>
      </c>
      <c r="L14" s="173" t="str">
        <f t="shared" si="5"/>
        <v/>
      </c>
      <c r="M14" s="198" t="str">
        <f t="shared" si="8"/>
        <v/>
      </c>
      <c r="N14" s="199" t="str">
        <f t="shared" si="7"/>
        <v/>
      </c>
      <c r="P14" s="33"/>
      <c r="Q14" s="34"/>
      <c r="R14" s="162"/>
      <c r="S14" s="162"/>
      <c r="T14" s="35"/>
      <c r="V14" s="33"/>
      <c r="W14" s="34"/>
      <c r="X14" s="34" t="s">
        <v>291</v>
      </c>
      <c r="Y14" s="35" t="s">
        <v>291</v>
      </c>
    </row>
    <row r="15" spans="1:25" ht="93" hidden="1" customHeight="1" x14ac:dyDescent="0.25">
      <c r="A15" s="24" t="e">
        <f>'2 CONTEXTO E IDENTIFICACIÓN'!#REF!</f>
        <v>#REF!</v>
      </c>
      <c r="B15" s="189" t="e">
        <f>+'2 CONTEXTO E IDENTIFICACIÓN'!#REF!</f>
        <v>#REF!</v>
      </c>
      <c r="C15" s="191"/>
      <c r="D15" s="164" t="str">
        <f t="shared" si="0"/>
        <v/>
      </c>
      <c r="E15" s="165" t="str">
        <f t="shared" si="1"/>
        <v/>
      </c>
      <c r="F15" s="25" t="str">
        <f t="shared" si="2"/>
        <v/>
      </c>
      <c r="G15" s="175"/>
      <c r="H15" s="167" t="str">
        <f t="shared" si="6"/>
        <v/>
      </c>
      <c r="I15" s="173" t="str">
        <f t="shared" si="3"/>
        <v/>
      </c>
      <c r="J15" s="175"/>
      <c r="K15" s="167" t="str">
        <f t="shared" si="4"/>
        <v/>
      </c>
      <c r="L15" s="173" t="str">
        <f t="shared" si="5"/>
        <v/>
      </c>
      <c r="M15" s="198" t="str">
        <f t="shared" si="8"/>
        <v/>
      </c>
      <c r="N15" s="199" t="str">
        <f t="shared" si="7"/>
        <v/>
      </c>
    </row>
    <row r="16" spans="1:25" ht="93" hidden="1" customHeight="1" x14ac:dyDescent="0.25">
      <c r="A16" s="24" t="e">
        <f>'2 CONTEXTO E IDENTIFICACIÓN'!#REF!</f>
        <v>#REF!</v>
      </c>
      <c r="B16" s="189" t="e">
        <f>+'2 CONTEXTO E IDENTIFICACIÓN'!#REF!</f>
        <v>#REF!</v>
      </c>
      <c r="C16" s="191"/>
      <c r="D16" s="164" t="str">
        <f t="shared" si="0"/>
        <v/>
      </c>
      <c r="E16" s="165" t="str">
        <f t="shared" si="1"/>
        <v/>
      </c>
      <c r="F16" s="25" t="str">
        <f t="shared" si="2"/>
        <v/>
      </c>
      <c r="G16" s="175"/>
      <c r="H16" s="167" t="str">
        <f t="shared" si="6"/>
        <v/>
      </c>
      <c r="I16" s="173" t="str">
        <f t="shared" si="3"/>
        <v/>
      </c>
      <c r="J16" s="175"/>
      <c r="K16" s="167" t="str">
        <f t="shared" si="4"/>
        <v/>
      </c>
      <c r="L16" s="173" t="str">
        <f t="shared" si="5"/>
        <v/>
      </c>
      <c r="M16" s="198" t="str">
        <f t="shared" si="8"/>
        <v/>
      </c>
      <c r="N16" s="199" t="str">
        <f t="shared" si="7"/>
        <v/>
      </c>
    </row>
    <row r="17" spans="1:14" ht="93" hidden="1" customHeight="1" x14ac:dyDescent="0.25">
      <c r="A17" s="24" t="e">
        <f>'2 CONTEXTO E IDENTIFICACIÓN'!#REF!</f>
        <v>#REF!</v>
      </c>
      <c r="B17" s="189" t="e">
        <f>+'2 CONTEXTO E IDENTIFICACIÓN'!#REF!</f>
        <v>#REF!</v>
      </c>
      <c r="C17" s="191"/>
      <c r="D17" s="164" t="str">
        <f t="shared" si="0"/>
        <v/>
      </c>
      <c r="E17" s="165" t="str">
        <f t="shared" si="1"/>
        <v/>
      </c>
      <c r="F17" s="25" t="str">
        <f t="shared" si="2"/>
        <v/>
      </c>
      <c r="G17" s="175"/>
      <c r="H17" s="167" t="str">
        <f t="shared" si="6"/>
        <v/>
      </c>
      <c r="I17" s="173" t="str">
        <f t="shared" si="3"/>
        <v/>
      </c>
      <c r="J17" s="175"/>
      <c r="K17" s="167" t="str">
        <f t="shared" si="4"/>
        <v/>
      </c>
      <c r="L17" s="173" t="str">
        <f t="shared" si="5"/>
        <v/>
      </c>
      <c r="M17" s="198" t="str">
        <f t="shared" si="8"/>
        <v/>
      </c>
      <c r="N17" s="199" t="str">
        <f t="shared" si="7"/>
        <v/>
      </c>
    </row>
    <row r="18" spans="1:14" ht="93" hidden="1" customHeight="1" x14ac:dyDescent="0.25">
      <c r="A18" s="24" t="e">
        <f>'2 CONTEXTO E IDENTIFICACIÓN'!#REF!</f>
        <v>#REF!</v>
      </c>
      <c r="B18" s="189" t="e">
        <f>+'2 CONTEXTO E IDENTIFICACIÓN'!#REF!</f>
        <v>#REF!</v>
      </c>
      <c r="C18" s="191"/>
      <c r="D18" s="164" t="str">
        <f t="shared" si="0"/>
        <v/>
      </c>
      <c r="E18" s="165" t="str">
        <f t="shared" si="1"/>
        <v/>
      </c>
      <c r="F18" s="25" t="str">
        <f t="shared" si="2"/>
        <v/>
      </c>
      <c r="G18" s="175"/>
      <c r="H18" s="167" t="str">
        <f t="shared" si="6"/>
        <v/>
      </c>
      <c r="I18" s="173" t="str">
        <f t="shared" si="3"/>
        <v/>
      </c>
      <c r="J18" s="175"/>
      <c r="K18" s="167" t="str">
        <f t="shared" si="4"/>
        <v/>
      </c>
      <c r="L18" s="173" t="str">
        <f t="shared" si="5"/>
        <v/>
      </c>
      <c r="M18" s="198" t="str">
        <f t="shared" si="8"/>
        <v/>
      </c>
      <c r="N18" s="199" t="str">
        <f t="shared" si="7"/>
        <v/>
      </c>
    </row>
    <row r="19" spans="1:14" ht="93" hidden="1" customHeight="1" x14ac:dyDescent="0.25">
      <c r="A19" s="24" t="e">
        <f>'2 CONTEXTO E IDENTIFICACIÓN'!#REF!</f>
        <v>#REF!</v>
      </c>
      <c r="B19" s="189" t="e">
        <f>+'2 CONTEXTO E IDENTIFICACIÓN'!#REF!</f>
        <v>#REF!</v>
      </c>
      <c r="C19" s="191"/>
      <c r="D19" s="164" t="str">
        <f t="shared" si="0"/>
        <v/>
      </c>
      <c r="E19" s="165" t="str">
        <f t="shared" si="1"/>
        <v/>
      </c>
      <c r="F19" s="25" t="str">
        <f t="shared" si="2"/>
        <v/>
      </c>
      <c r="G19" s="175"/>
      <c r="H19" s="167" t="str">
        <f t="shared" si="6"/>
        <v/>
      </c>
      <c r="I19" s="173" t="str">
        <f t="shared" si="3"/>
        <v/>
      </c>
      <c r="J19" s="175"/>
      <c r="K19" s="167" t="str">
        <f t="shared" si="4"/>
        <v/>
      </c>
      <c r="L19" s="173" t="str">
        <f t="shared" si="5"/>
        <v/>
      </c>
      <c r="M19" s="198" t="str">
        <f t="shared" si="8"/>
        <v/>
      </c>
      <c r="N19" s="199" t="str">
        <f t="shared" si="7"/>
        <v/>
      </c>
    </row>
    <row r="20" spans="1:14" ht="93" hidden="1" customHeight="1" x14ac:dyDescent="0.25">
      <c r="A20" s="24" t="e">
        <f>'2 CONTEXTO E IDENTIFICACIÓN'!#REF!</f>
        <v>#REF!</v>
      </c>
      <c r="B20" s="189" t="e">
        <f>+'2 CONTEXTO E IDENTIFICACIÓN'!#REF!</f>
        <v>#REF!</v>
      </c>
      <c r="C20" s="191"/>
      <c r="D20" s="164" t="str">
        <f t="shared" si="0"/>
        <v/>
      </c>
      <c r="E20" s="165" t="str">
        <f t="shared" si="1"/>
        <v/>
      </c>
      <c r="F20" s="25" t="str">
        <f t="shared" si="2"/>
        <v/>
      </c>
      <c r="G20" s="175"/>
      <c r="H20" s="167" t="str">
        <f t="shared" si="6"/>
        <v/>
      </c>
      <c r="I20" s="173" t="str">
        <f t="shared" si="3"/>
        <v/>
      </c>
      <c r="J20" s="175"/>
      <c r="K20" s="167" t="str">
        <f t="shared" si="4"/>
        <v/>
      </c>
      <c r="L20" s="173" t="str">
        <f t="shared" si="5"/>
        <v/>
      </c>
      <c r="M20" s="198" t="str">
        <f t="shared" si="8"/>
        <v/>
      </c>
      <c r="N20" s="199" t="str">
        <f t="shared" si="7"/>
        <v/>
      </c>
    </row>
    <row r="21" spans="1:14" ht="93" hidden="1" customHeight="1" x14ac:dyDescent="0.25">
      <c r="A21" s="24" t="e">
        <f>'2 CONTEXTO E IDENTIFICACIÓN'!#REF!</f>
        <v>#REF!</v>
      </c>
      <c r="B21" s="189" t="e">
        <f>+'2 CONTEXTO E IDENTIFICACIÓN'!#REF!</f>
        <v>#REF!</v>
      </c>
      <c r="C21" s="191"/>
      <c r="D21" s="164" t="str">
        <f t="shared" si="0"/>
        <v/>
      </c>
      <c r="E21" s="165" t="str">
        <f t="shared" si="1"/>
        <v/>
      </c>
      <c r="F21" s="25" t="str">
        <f t="shared" si="2"/>
        <v/>
      </c>
      <c r="G21" s="175"/>
      <c r="H21" s="167" t="str">
        <f t="shared" si="6"/>
        <v/>
      </c>
      <c r="I21" s="173" t="str">
        <f t="shared" si="3"/>
        <v/>
      </c>
      <c r="J21" s="175"/>
      <c r="K21" s="167" t="str">
        <f t="shared" si="4"/>
        <v/>
      </c>
      <c r="L21" s="173" t="str">
        <f t="shared" si="5"/>
        <v/>
      </c>
      <c r="M21" s="198" t="str">
        <f t="shared" si="8"/>
        <v/>
      </c>
      <c r="N21" s="199" t="str">
        <f t="shared" si="7"/>
        <v/>
      </c>
    </row>
    <row r="22" spans="1:14" ht="93" hidden="1" customHeight="1" x14ac:dyDescent="0.25">
      <c r="A22" s="24" t="e">
        <f>'2 CONTEXTO E IDENTIFICACIÓN'!#REF!</f>
        <v>#REF!</v>
      </c>
      <c r="B22" s="189" t="e">
        <f>+'2 CONTEXTO E IDENTIFICACIÓN'!#REF!</f>
        <v>#REF!</v>
      </c>
      <c r="C22" s="191"/>
      <c r="D22" s="164" t="str">
        <f t="shared" si="0"/>
        <v/>
      </c>
      <c r="E22" s="165" t="str">
        <f t="shared" si="1"/>
        <v/>
      </c>
      <c r="F22" s="25" t="str">
        <f t="shared" si="2"/>
        <v/>
      </c>
      <c r="G22" s="175"/>
      <c r="H22" s="167" t="str">
        <f t="shared" si="6"/>
        <v/>
      </c>
      <c r="I22" s="173" t="str">
        <f t="shared" si="3"/>
        <v/>
      </c>
      <c r="J22" s="175"/>
      <c r="K22" s="167" t="str">
        <f t="shared" si="4"/>
        <v/>
      </c>
      <c r="L22" s="173" t="str">
        <f t="shared" si="5"/>
        <v/>
      </c>
      <c r="M22" s="198" t="str">
        <f t="shared" si="8"/>
        <v/>
      </c>
      <c r="N22" s="199" t="str">
        <f t="shared" si="7"/>
        <v/>
      </c>
    </row>
    <row r="23" spans="1:14" ht="93" hidden="1" customHeight="1" x14ac:dyDescent="0.25">
      <c r="A23" s="24" t="e">
        <f>'2 CONTEXTO E IDENTIFICACIÓN'!#REF!</f>
        <v>#REF!</v>
      </c>
      <c r="B23" s="189" t="e">
        <f>+'2 CONTEXTO E IDENTIFICACIÓN'!#REF!</f>
        <v>#REF!</v>
      </c>
      <c r="C23" s="191"/>
      <c r="D23" s="164" t="str">
        <f t="shared" si="0"/>
        <v/>
      </c>
      <c r="E23" s="165" t="str">
        <f t="shared" si="1"/>
        <v/>
      </c>
      <c r="F23" s="25" t="str">
        <f t="shared" si="2"/>
        <v/>
      </c>
      <c r="G23" s="175"/>
      <c r="H23" s="167" t="str">
        <f t="shared" si="6"/>
        <v/>
      </c>
      <c r="I23" s="173" t="str">
        <f t="shared" si="3"/>
        <v/>
      </c>
      <c r="J23" s="175"/>
      <c r="K23" s="167" t="str">
        <f t="shared" si="4"/>
        <v/>
      </c>
      <c r="L23" s="173" t="str">
        <f t="shared" si="5"/>
        <v/>
      </c>
      <c r="M23" s="198" t="str">
        <f t="shared" si="8"/>
        <v/>
      </c>
      <c r="N23" s="199" t="str">
        <f t="shared" si="7"/>
        <v/>
      </c>
    </row>
    <row r="24" spans="1:14" ht="93" hidden="1" customHeight="1" x14ac:dyDescent="0.25">
      <c r="A24" s="24" t="e">
        <f>'2 CONTEXTO E IDENTIFICACIÓN'!#REF!</f>
        <v>#REF!</v>
      </c>
      <c r="B24" s="189" t="e">
        <f>+'2 CONTEXTO E IDENTIFICACIÓN'!#REF!</f>
        <v>#REF!</v>
      </c>
      <c r="C24" s="191"/>
      <c r="D24" s="164" t="str">
        <f t="shared" si="0"/>
        <v/>
      </c>
      <c r="E24" s="165" t="str">
        <f t="shared" si="1"/>
        <v/>
      </c>
      <c r="F24" s="25" t="str">
        <f t="shared" si="2"/>
        <v/>
      </c>
      <c r="G24" s="175"/>
      <c r="H24" s="167" t="str">
        <f t="shared" si="6"/>
        <v/>
      </c>
      <c r="I24" s="173" t="str">
        <f t="shared" si="3"/>
        <v/>
      </c>
      <c r="J24" s="175"/>
      <c r="K24" s="167" t="str">
        <f t="shared" si="4"/>
        <v/>
      </c>
      <c r="L24" s="173" t="str">
        <f t="shared" si="5"/>
        <v/>
      </c>
      <c r="M24" s="198" t="str">
        <f t="shared" si="8"/>
        <v/>
      </c>
      <c r="N24" s="199" t="str">
        <f t="shared" si="7"/>
        <v/>
      </c>
    </row>
    <row r="25" spans="1:14" ht="93" hidden="1" customHeight="1" x14ac:dyDescent="0.25">
      <c r="A25" s="24" t="e">
        <f>'2 CONTEXTO E IDENTIFICACIÓN'!#REF!</f>
        <v>#REF!</v>
      </c>
      <c r="B25" s="189" t="e">
        <f>+'2 CONTEXTO E IDENTIFICACIÓN'!#REF!</f>
        <v>#REF!</v>
      </c>
      <c r="C25" s="191"/>
      <c r="D25" s="164" t="str">
        <f t="shared" si="0"/>
        <v/>
      </c>
      <c r="E25" s="165" t="str">
        <f t="shared" si="1"/>
        <v/>
      </c>
      <c r="F25" s="25" t="str">
        <f t="shared" si="2"/>
        <v/>
      </c>
      <c r="G25" s="175"/>
      <c r="H25" s="167" t="str">
        <f t="shared" si="6"/>
        <v/>
      </c>
      <c r="I25" s="173" t="str">
        <f t="shared" si="3"/>
        <v/>
      </c>
      <c r="J25" s="175"/>
      <c r="K25" s="167" t="str">
        <f t="shared" si="4"/>
        <v/>
      </c>
      <c r="L25" s="173" t="str">
        <f t="shared" si="5"/>
        <v/>
      </c>
      <c r="M25" s="198" t="str">
        <f t="shared" si="8"/>
        <v/>
      </c>
      <c r="N25" s="199" t="str">
        <f t="shared" si="7"/>
        <v/>
      </c>
    </row>
    <row r="26" spans="1:14" ht="93" hidden="1" customHeight="1" x14ac:dyDescent="0.25">
      <c r="A26" s="24" t="e">
        <f>'2 CONTEXTO E IDENTIFICACIÓN'!#REF!</f>
        <v>#REF!</v>
      </c>
      <c r="B26" s="189" t="e">
        <f>+'2 CONTEXTO E IDENTIFICACIÓN'!#REF!</f>
        <v>#REF!</v>
      </c>
      <c r="C26" s="191"/>
      <c r="D26" s="164" t="str">
        <f t="shared" si="0"/>
        <v/>
      </c>
      <c r="E26" s="165" t="str">
        <f t="shared" si="1"/>
        <v/>
      </c>
      <c r="F26" s="25" t="str">
        <f t="shared" si="2"/>
        <v/>
      </c>
      <c r="G26" s="175"/>
      <c r="H26" s="167" t="str">
        <f t="shared" si="6"/>
        <v/>
      </c>
      <c r="I26" s="173" t="str">
        <f t="shared" si="3"/>
        <v/>
      </c>
      <c r="J26" s="175"/>
      <c r="K26" s="167" t="str">
        <f t="shared" si="4"/>
        <v/>
      </c>
      <c r="L26" s="173" t="str">
        <f t="shared" si="5"/>
        <v/>
      </c>
      <c r="M26" s="198" t="str">
        <f t="shared" si="8"/>
        <v/>
      </c>
      <c r="N26" s="199" t="str">
        <f t="shared" si="7"/>
        <v/>
      </c>
    </row>
    <row r="27" spans="1:14" ht="93" hidden="1" customHeight="1" x14ac:dyDescent="0.25">
      <c r="A27" s="24" t="e">
        <f>'2 CONTEXTO E IDENTIFICACIÓN'!#REF!</f>
        <v>#REF!</v>
      </c>
      <c r="B27" s="189" t="e">
        <f>+'2 CONTEXTO E IDENTIFICACIÓN'!#REF!</f>
        <v>#REF!</v>
      </c>
      <c r="C27" s="191"/>
      <c r="D27" s="164" t="str">
        <f t="shared" si="0"/>
        <v/>
      </c>
      <c r="E27" s="165" t="str">
        <f t="shared" si="1"/>
        <v/>
      </c>
      <c r="F27" s="25" t="str">
        <f t="shared" si="2"/>
        <v/>
      </c>
      <c r="G27" s="175"/>
      <c r="H27" s="167" t="str">
        <f t="shared" si="6"/>
        <v/>
      </c>
      <c r="I27" s="173" t="str">
        <f t="shared" si="3"/>
        <v/>
      </c>
      <c r="J27" s="175"/>
      <c r="K27" s="167" t="str">
        <f t="shared" si="4"/>
        <v/>
      </c>
      <c r="L27" s="173" t="str">
        <f t="shared" si="5"/>
        <v/>
      </c>
      <c r="M27" s="198" t="str">
        <f t="shared" si="8"/>
        <v/>
      </c>
      <c r="N27" s="199" t="str">
        <f t="shared" si="7"/>
        <v/>
      </c>
    </row>
    <row r="28" spans="1:14" ht="93" hidden="1" customHeight="1" thickBot="1" x14ac:dyDescent="0.3">
      <c r="A28" s="36" t="e">
        <f>'2 CONTEXTO E IDENTIFICACIÓN'!#REF!</f>
        <v>#REF!</v>
      </c>
      <c r="B28" s="189" t="e">
        <f>+'2 CONTEXTO E IDENTIFICACIÓN'!#REF!</f>
        <v>#REF!</v>
      </c>
      <c r="C28" s="192"/>
      <c r="D28" s="177" t="str">
        <f t="shared" si="0"/>
        <v/>
      </c>
      <c r="E28" s="166" t="str">
        <f t="shared" si="1"/>
        <v/>
      </c>
      <c r="F28" s="37" t="str">
        <f t="shared" si="2"/>
        <v/>
      </c>
      <c r="G28" s="176"/>
      <c r="H28" s="171" t="str">
        <f t="shared" si="6"/>
        <v/>
      </c>
      <c r="I28" s="174" t="str">
        <f t="shared" si="3"/>
        <v/>
      </c>
      <c r="J28" s="176"/>
      <c r="K28" s="171" t="str">
        <f t="shared" si="4"/>
        <v/>
      </c>
      <c r="L28" s="174" t="str">
        <f t="shared" si="5"/>
        <v/>
      </c>
      <c r="M28" s="200" t="str">
        <f t="shared" si="8"/>
        <v/>
      </c>
      <c r="N28" s="201" t="str">
        <f t="shared" si="7"/>
        <v/>
      </c>
    </row>
    <row r="29" spans="1:14" hidden="1" x14ac:dyDescent="0.25"/>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G12:G28 E9:E28">
    <cfRule type="cellIs" dxfId="119" priority="11" operator="equal">
      <formula>$T$9</formula>
    </cfRule>
    <cfRule type="cellIs" dxfId="118" priority="12" operator="equal">
      <formula>$T$10</formula>
    </cfRule>
    <cfRule type="cellIs" dxfId="117" priority="13" operator="equal">
      <formula>$T$11</formula>
    </cfRule>
    <cfRule type="cellIs" dxfId="116" priority="14" operator="equal">
      <formula>$T$12</formula>
    </cfRule>
    <cfRule type="cellIs" dxfId="115" priority="15" operator="equal">
      <formula>$T$13</formula>
    </cfRule>
  </conditionalFormatting>
  <conditionalFormatting sqref="F9:F28">
    <cfRule type="cellIs" dxfId="114" priority="169" operator="equal">
      <formula>$P$9</formula>
    </cfRule>
    <cfRule type="cellIs" dxfId="113" priority="170" operator="equal">
      <formula>$P$10</formula>
    </cfRule>
    <cfRule type="cellIs" dxfId="112" priority="171" operator="equal">
      <formula>$P$11</formula>
    </cfRule>
    <cfRule type="cellIs" dxfId="111" priority="172" operator="equal">
      <formula>$P$12</formula>
    </cfRule>
    <cfRule type="cellIs" dxfId="110" priority="173" operator="equal">
      <formula>$P$13</formula>
    </cfRule>
  </conditionalFormatting>
  <conditionalFormatting sqref="H9:H28">
    <cfRule type="cellIs" dxfId="109" priority="86" operator="equal">
      <formula>$W$9</formula>
    </cfRule>
    <cfRule type="cellIs" dxfId="108" priority="87" operator="equal">
      <formula>$W$10</formula>
    </cfRule>
    <cfRule type="cellIs" dxfId="107" priority="88" operator="equal">
      <formula>$W$11</formula>
    </cfRule>
    <cfRule type="cellIs" dxfId="106" priority="89" operator="equal">
      <formula>$W$12</formula>
    </cfRule>
    <cfRule type="cellIs" dxfId="105" priority="90" operator="equal">
      <formula>$W$13</formula>
    </cfRule>
  </conditionalFormatting>
  <conditionalFormatting sqref="I9:I11 I12:J28">
    <cfRule type="cellIs" dxfId="104" priority="91" operator="equal">
      <formula>$V$9</formula>
    </cfRule>
    <cfRule type="cellIs" dxfId="103" priority="92" operator="equal">
      <formula>$V$10</formula>
    </cfRule>
    <cfRule type="cellIs" dxfId="102" priority="93" operator="equal">
      <formula>$V$11</formula>
    </cfRule>
    <cfRule type="cellIs" dxfId="101" priority="94" operator="equal">
      <formula>$V$12</formula>
    </cfRule>
    <cfRule type="cellIs" dxfId="100" priority="95" operator="equal">
      <formula>$V$13</formula>
    </cfRule>
  </conditionalFormatting>
  <conditionalFormatting sqref="K9:K28">
    <cfRule type="cellIs" dxfId="99" priority="71" operator="equal">
      <formula>$W$9</formula>
    </cfRule>
    <cfRule type="cellIs" dxfId="98" priority="72" operator="equal">
      <formula>$W$10</formula>
    </cfRule>
    <cfRule type="cellIs" dxfId="97" priority="73" operator="equal">
      <formula>$W$11</formula>
    </cfRule>
    <cfRule type="cellIs" dxfId="96" priority="74" operator="equal">
      <formula>$W$12</formula>
    </cfRule>
    <cfRule type="cellIs" dxfId="95" priority="75" operator="equal">
      <formula>$W$13</formula>
    </cfRule>
  </conditionalFormatting>
  <conditionalFormatting sqref="L9:L28">
    <cfRule type="cellIs" dxfId="94" priority="106" operator="equal">
      <formula>$V$9</formula>
    </cfRule>
    <cfRule type="cellIs" dxfId="93" priority="107" operator="equal">
      <formula>$V$10</formula>
    </cfRule>
    <cfRule type="cellIs" dxfId="92" priority="108" operator="equal">
      <formula>$V$11</formula>
    </cfRule>
    <cfRule type="cellIs" dxfId="91" priority="109" operator="equal">
      <formula>$V$12</formula>
    </cfRule>
    <cfRule type="cellIs" dxfId="90" priority="110" operator="equal">
      <formula>$V$13</formula>
    </cfRule>
  </conditionalFormatting>
  <conditionalFormatting sqref="M9:M28">
    <cfRule type="cellIs" dxfId="89" priority="16" operator="equal">
      <formula>$W$9</formula>
    </cfRule>
    <cfRule type="cellIs" dxfId="88" priority="17" operator="equal">
      <formula>$W$10</formula>
    </cfRule>
    <cfRule type="cellIs" dxfId="87" priority="18" operator="equal">
      <formula>$W$11</formula>
    </cfRule>
    <cfRule type="cellIs" dxfId="86" priority="19" operator="equal">
      <formula>$W$12</formula>
    </cfRule>
    <cfRule type="cellIs" dxfId="85" priority="20" operator="equal">
      <formula>$W$13</formula>
    </cfRule>
  </conditionalFormatting>
  <conditionalFormatting sqref="N9:N28">
    <cfRule type="cellIs" dxfId="84" priority="41" operator="equal">
      <formula>$V$9</formula>
    </cfRule>
    <cfRule type="cellIs" dxfId="83" priority="42" operator="equal">
      <formula>$V$10</formula>
    </cfRule>
    <cfRule type="cellIs" dxfId="82" priority="43" operator="equal">
      <formula>$V$11</formula>
    </cfRule>
    <cfRule type="cellIs" dxfId="81" priority="44" operator="equal">
      <formula>$V$12</formula>
    </cfRule>
    <cfRule type="cellIs" dxfId="80" priority="45" operator="equal">
      <formula>$V$13</formula>
    </cfRule>
  </conditionalFormatting>
  <conditionalFormatting sqref="G9:G11">
    <cfRule type="cellIs" dxfId="79" priority="6" operator="equal">
      <formula>$T$19</formula>
    </cfRule>
    <cfRule type="cellIs" dxfId="78" priority="7" operator="equal">
      <formula>$T$20</formula>
    </cfRule>
    <cfRule type="cellIs" dxfId="77" priority="8" operator="equal">
      <formula>$T$21</formula>
    </cfRule>
    <cfRule type="cellIs" dxfId="76" priority="9" operator="equal">
      <formula>$T$22</formula>
    </cfRule>
    <cfRule type="cellIs" dxfId="75" priority="10" operator="equal">
      <formula>$T$23</formula>
    </cfRule>
  </conditionalFormatting>
  <conditionalFormatting sqref="J9:J11">
    <cfRule type="cellIs" dxfId="74" priority="1" operator="equal">
      <formula>$V$19</formula>
    </cfRule>
    <cfRule type="cellIs" dxfId="73" priority="2" operator="equal">
      <formula>$V$20</formula>
    </cfRule>
    <cfRule type="cellIs" dxfId="72" priority="3" operator="equal">
      <formula>$V$21</formula>
    </cfRule>
    <cfRule type="cellIs" dxfId="71" priority="4" operator="equal">
      <formula>$V$22</formula>
    </cfRule>
    <cfRule type="cellIs" dxfId="70" priority="5" operator="equal">
      <formula>$V$23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65" zoomScaleNormal="65" workbookViewId="0">
      <pane xSplit="1" ySplit="8" topLeftCell="F9" activePane="bottomRight" state="frozen"/>
      <selection pane="topRight" activeCell="B1" sqref="B1"/>
      <selection pane="bottomLeft" activeCell="A7" sqref="A7"/>
      <selection pane="bottomRight" activeCell="J13" sqref="J13"/>
    </sheetView>
  </sheetViews>
  <sheetFormatPr baseColWidth="10" defaultColWidth="0" defaultRowHeight="12.75" x14ac:dyDescent="0.25"/>
  <cols>
    <col min="1" max="1" width="12.85546875" style="65" customWidth="1"/>
    <col min="2" max="2" width="42.5703125" style="70" customWidth="1"/>
    <col min="3" max="3" width="16.42578125" style="65" customWidth="1"/>
    <col min="4" max="4" width="12.42578125" style="70" customWidth="1"/>
    <col min="5" max="5" width="25" style="70" customWidth="1"/>
    <col min="6" max="6" width="3.85546875" style="70" customWidth="1"/>
    <col min="7" max="7" width="7.42578125" style="70" customWidth="1"/>
    <col min="8" max="8" width="14" style="70" customWidth="1"/>
    <col min="9" max="9" width="13.85546875" style="70" customWidth="1"/>
    <col min="10" max="13" width="12.42578125" style="70" customWidth="1"/>
    <col min="14" max="14" width="3.85546875" style="70" customWidth="1"/>
    <col min="15" max="15" width="4.85546875" style="65" customWidth="1"/>
    <col min="16" max="16" width="6.42578125" style="65" customWidth="1"/>
    <col min="17" max="17" width="11" style="65" bestFit="1" customWidth="1"/>
    <col min="18" max="22" width="12" style="65" customWidth="1"/>
    <col min="23" max="23" width="11.42578125" style="65" customWidth="1"/>
    <col min="24" max="27" width="11.42578125" style="65" hidden="1" customWidth="1"/>
    <col min="28" max="28" width="5.42578125" style="65" hidden="1" customWidth="1"/>
    <col min="29" max="29" width="26.85546875" style="65" hidden="1" customWidth="1"/>
    <col min="30" max="34" width="22.85546875" style="70" hidden="1" customWidth="1"/>
    <col min="35" max="35" width="23.42578125" style="65" hidden="1" customWidth="1"/>
    <col min="36" max="263" width="11.42578125" style="65" hidden="1" customWidth="1"/>
    <col min="264" max="264" width="12.42578125" style="65" hidden="1" customWidth="1"/>
    <col min="265" max="265" width="47" style="65" hidden="1" customWidth="1"/>
    <col min="266" max="266" width="35" style="65" hidden="1" customWidth="1"/>
    <col min="267" max="16384" width="14.42578125" style="65" hidden="1"/>
  </cols>
  <sheetData>
    <row r="1" spans="1:36" s="53" customFormat="1" ht="36" customHeight="1" x14ac:dyDescent="0.2">
      <c r="A1" s="476"/>
      <c r="B1" s="482" t="str">
        <f>+'2 CONTEXTO E IDENTIFICACIÓN'!A1</f>
        <v>MAPA DE RIESGOS</v>
      </c>
      <c r="C1" s="472"/>
      <c r="D1" s="473"/>
      <c r="AD1" s="54"/>
      <c r="AE1" s="54"/>
      <c r="AF1" s="54"/>
      <c r="AG1" s="54"/>
      <c r="AH1" s="54"/>
    </row>
    <row r="2" spans="1:36" s="53" customFormat="1" ht="36" customHeight="1" x14ac:dyDescent="0.2">
      <c r="A2" s="476"/>
      <c r="B2" s="482"/>
      <c r="C2" s="39" t="str">
        <f>+'2 CONTEXTO E IDENTIFICACIÓN'!A2</f>
        <v>VERSIÓN:</v>
      </c>
      <c r="D2" s="52">
        <f>'2 CONTEXTO E IDENTIFICACIÓN'!B2</f>
        <v>0</v>
      </c>
      <c r="E2" s="55"/>
      <c r="F2" s="55"/>
      <c r="G2" s="55"/>
      <c r="H2" s="3"/>
      <c r="I2" s="213" t="str">
        <f>+'2 CONTEXTO E IDENTIFICACIÓN'!$I$4</f>
        <v>Elaboración o Actualización:</v>
      </c>
      <c r="J2" s="227">
        <f>'2 CONTEXTO E IDENTIFICACIÓN'!J4</f>
        <v>46003</v>
      </c>
      <c r="K2" s="13"/>
      <c r="L2" s="13"/>
      <c r="M2" s="56"/>
      <c r="N2" s="55"/>
      <c r="AD2" s="54"/>
      <c r="AE2" s="54"/>
      <c r="AF2" s="54"/>
      <c r="AG2" s="54"/>
      <c r="AH2" s="54"/>
    </row>
    <row r="3" spans="1:36" s="53" customFormat="1" ht="27.95" customHeight="1" x14ac:dyDescent="0.2">
      <c r="A3" s="57"/>
      <c r="B3" s="55"/>
      <c r="C3" s="41"/>
      <c r="D3" s="56"/>
      <c r="E3" s="55"/>
      <c r="F3" s="55"/>
      <c r="G3" s="55"/>
      <c r="I3" s="216" t="str">
        <f>+'2 CONTEXTO E IDENTIFICACIÓN'!$E$5</f>
        <v xml:space="preserve">Vigencia: </v>
      </c>
      <c r="J3" s="214">
        <f>'2 CONTEXTO E IDENTIFICACIÓN'!G5</f>
        <v>46023</v>
      </c>
      <c r="K3" s="215" t="s">
        <v>100</v>
      </c>
      <c r="L3" s="212">
        <f>'2 CONTEXTO E IDENTIFICACIÓN'!J5</f>
        <v>46387</v>
      </c>
      <c r="M3" s="56"/>
      <c r="N3" s="55"/>
      <c r="AD3" s="54"/>
      <c r="AE3" s="54"/>
      <c r="AF3" s="54"/>
      <c r="AG3" s="54"/>
      <c r="AH3" s="54"/>
    </row>
    <row r="4" spans="1:36" s="53" customFormat="1" ht="15" x14ac:dyDescent="0.2">
      <c r="A4" s="12" t="s">
        <v>95</v>
      </c>
      <c r="B4" s="486" t="str">
        <f>'2 CONTEXTO E IDENTIFICACIÓN'!B4</f>
        <v>SUPERSOLIDARIA</v>
      </c>
      <c r="C4" s="487"/>
      <c r="D4" s="488"/>
      <c r="AD4" s="54"/>
      <c r="AE4" s="54"/>
      <c r="AF4" s="54"/>
      <c r="AG4" s="54"/>
      <c r="AH4" s="54"/>
    </row>
    <row r="5" spans="1:36" s="53" customFormat="1" ht="15.75" thickBot="1" x14ac:dyDescent="0.25">
      <c r="A5" s="12" t="s">
        <v>96</v>
      </c>
      <c r="B5" s="462" t="str">
        <f>'2 CONTEXTO E IDENTIFICACIÓN'!F4</f>
        <v>PLES</v>
      </c>
      <c r="C5" s="463"/>
      <c r="D5" s="463"/>
      <c r="AD5" s="54"/>
      <c r="AE5" s="54"/>
      <c r="AF5" s="54"/>
      <c r="AG5" s="54"/>
      <c r="AH5" s="54"/>
    </row>
    <row r="6" spans="1:36" s="53" customFormat="1" ht="15.75" thickBot="1" x14ac:dyDescent="0.25">
      <c r="A6" s="220"/>
      <c r="B6" s="219"/>
      <c r="C6" s="219"/>
      <c r="D6" s="56"/>
      <c r="G6" s="483" t="s">
        <v>292</v>
      </c>
      <c r="H6" s="484"/>
      <c r="I6" s="484"/>
      <c r="J6" s="484"/>
      <c r="K6" s="484"/>
      <c r="L6" s="484"/>
      <c r="M6" s="485"/>
      <c r="O6" s="58"/>
      <c r="P6" s="58"/>
      <c r="Q6" s="59"/>
      <c r="R6" s="474" t="s">
        <v>156</v>
      </c>
      <c r="S6" s="474"/>
      <c r="T6" s="474"/>
      <c r="U6" s="474"/>
      <c r="V6" s="475"/>
      <c r="AD6" s="54"/>
      <c r="AE6" s="54"/>
      <c r="AF6" s="54"/>
      <c r="AG6" s="54"/>
      <c r="AH6" s="54"/>
    </row>
    <row r="7" spans="1:36" x14ac:dyDescent="0.25">
      <c r="A7" s="60"/>
      <c r="B7" s="61"/>
      <c r="C7" s="477" t="s">
        <v>293</v>
      </c>
      <c r="D7" s="477"/>
      <c r="E7" s="477"/>
      <c r="F7" s="62"/>
      <c r="G7" s="63"/>
      <c r="H7" s="64"/>
      <c r="I7" s="474" t="s">
        <v>156</v>
      </c>
      <c r="J7" s="474"/>
      <c r="K7" s="474"/>
      <c r="L7" s="474"/>
      <c r="M7" s="475"/>
      <c r="N7" s="62"/>
      <c r="O7" s="66"/>
      <c r="P7" s="66"/>
      <c r="R7" s="67">
        <v>0.2</v>
      </c>
      <c r="S7" s="67">
        <v>0.4</v>
      </c>
      <c r="T7" s="67">
        <v>0.6</v>
      </c>
      <c r="U7" s="67">
        <v>0.8</v>
      </c>
      <c r="V7" s="68">
        <v>1</v>
      </c>
      <c r="W7" s="69"/>
      <c r="X7" s="69"/>
      <c r="Y7" s="69"/>
      <c r="Z7" s="69"/>
      <c r="AA7" s="69"/>
      <c r="AB7" s="69"/>
      <c r="AC7" s="69"/>
    </row>
    <row r="8" spans="1:36" ht="25.5" x14ac:dyDescent="0.2">
      <c r="A8" s="71" t="s">
        <v>294</v>
      </c>
      <c r="B8" s="72" t="s">
        <v>295</v>
      </c>
      <c r="C8" s="73" t="s">
        <v>251</v>
      </c>
      <c r="D8" s="73" t="s">
        <v>252</v>
      </c>
      <c r="E8" s="74" t="s">
        <v>69</v>
      </c>
      <c r="F8" s="62"/>
      <c r="G8" s="66"/>
      <c r="H8" s="75"/>
      <c r="I8" s="76" t="s">
        <v>270</v>
      </c>
      <c r="J8" s="76" t="s">
        <v>274</v>
      </c>
      <c r="K8" s="76" t="s">
        <v>278</v>
      </c>
      <c r="L8" s="76" t="s">
        <v>283</v>
      </c>
      <c r="M8" s="77" t="s">
        <v>288</v>
      </c>
      <c r="N8" s="62"/>
      <c r="O8" s="66"/>
      <c r="P8" s="66"/>
      <c r="Q8" s="78"/>
      <c r="R8" s="79" t="s">
        <v>270</v>
      </c>
      <c r="S8" s="79" t="s">
        <v>274</v>
      </c>
      <c r="T8" s="79" t="s">
        <v>278</v>
      </c>
      <c r="U8" s="79" t="s">
        <v>283</v>
      </c>
      <c r="V8" s="80" t="s">
        <v>288</v>
      </c>
      <c r="Y8" s="69"/>
      <c r="Z8" s="69"/>
      <c r="AA8" s="81"/>
      <c r="AB8" s="81"/>
      <c r="AC8" s="81"/>
      <c r="AD8" s="81"/>
      <c r="AE8" s="81"/>
      <c r="AF8" s="81"/>
      <c r="AG8" s="81"/>
      <c r="AH8" s="81"/>
      <c r="AI8" s="81"/>
      <c r="AJ8" s="81"/>
    </row>
    <row r="9" spans="1:36" ht="143.25" customHeight="1" x14ac:dyDescent="0.2">
      <c r="A9" s="82" t="str">
        <f>'2 CONTEXTO E IDENTIFICACIÓN'!A9</f>
        <v>PLES-1</v>
      </c>
      <c r="B9" s="83" t="str">
        <f>+'2 CONTEXTO E IDENTIFICACIÓN'!J9</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C9" s="84" t="str">
        <f>+'3 PROBABIL E IMPACTO INHERENTE'!F9</f>
        <v>Media</v>
      </c>
      <c r="D9" s="84" t="str">
        <f>+'3 PROBABIL E IMPACTO INHERENTE'!N9</f>
        <v>Moderado</v>
      </c>
      <c r="E9" s="83"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5"/>
      <c r="G9" s="480" t="s">
        <v>137</v>
      </c>
      <c r="H9" s="76" t="s">
        <v>286</v>
      </c>
      <c r="I9" s="86"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6"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6"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6"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7"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5"/>
      <c r="O9" s="478" t="s">
        <v>137</v>
      </c>
      <c r="P9" s="88">
        <v>1</v>
      </c>
      <c r="Q9" s="79" t="s">
        <v>286</v>
      </c>
      <c r="R9" s="86" t="s">
        <v>296</v>
      </c>
      <c r="S9" s="86" t="s">
        <v>296</v>
      </c>
      <c r="T9" s="86" t="s">
        <v>296</v>
      </c>
      <c r="U9" s="86" t="s">
        <v>296</v>
      </c>
      <c r="V9" s="87" t="s">
        <v>297</v>
      </c>
      <c r="Y9" s="69"/>
      <c r="Z9" s="69"/>
      <c r="AA9" s="81"/>
      <c r="AB9" s="81"/>
      <c r="AC9" s="81"/>
      <c r="AD9" s="89"/>
      <c r="AE9" s="89"/>
      <c r="AF9" s="89"/>
      <c r="AG9" s="89"/>
      <c r="AH9" s="89"/>
      <c r="AI9" s="81"/>
      <c r="AJ9" s="81"/>
    </row>
    <row r="10" spans="1:36" ht="114" customHeight="1" x14ac:dyDescent="0.2">
      <c r="A10" s="82" t="str">
        <f>'2 CONTEXTO E IDENTIFICACIÓN'!A10</f>
        <v>PLES-2</v>
      </c>
      <c r="B10" s="83" t="str">
        <f>+'2 CONTEXTO E IDENTIFICACIÓN'!J10</f>
        <v>Posibilidad de afectación reputacional por la desarticulación a causa de la aprobación del Plan de Acción a causa de   de no integración de las metas establecidas en el Plan Estratégico Institucional y las actividades de los planes del Decreto 612 de 2018</v>
      </c>
      <c r="C10" s="84" t="str">
        <f>+'3 PROBABIL E IMPACTO INHERENTE'!F10</f>
        <v>Media</v>
      </c>
      <c r="D10" s="84" t="str">
        <f>+'3 PROBABIL E IMPACTO INHERENTE'!N10</f>
        <v>Moderado</v>
      </c>
      <c r="E10" s="83"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5"/>
      <c r="G10" s="480"/>
      <c r="H10" s="76" t="s">
        <v>281</v>
      </c>
      <c r="I10" s="90"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0"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6"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6"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7"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5"/>
      <c r="O10" s="478"/>
      <c r="P10" s="88">
        <v>0.8</v>
      </c>
      <c r="Q10" s="79" t="s">
        <v>281</v>
      </c>
      <c r="R10" s="90" t="s">
        <v>278</v>
      </c>
      <c r="S10" s="90" t="s">
        <v>278</v>
      </c>
      <c r="T10" s="86" t="s">
        <v>296</v>
      </c>
      <c r="U10" s="86" t="s">
        <v>296</v>
      </c>
      <c r="V10" s="87" t="s">
        <v>297</v>
      </c>
      <c r="Y10" s="69"/>
      <c r="Z10" s="69"/>
      <c r="AA10" s="81"/>
      <c r="AB10" s="91"/>
      <c r="AC10" s="92"/>
      <c r="AD10" s="89"/>
      <c r="AE10" s="89"/>
      <c r="AF10" s="89"/>
      <c r="AG10" s="89"/>
      <c r="AH10" s="89"/>
      <c r="AI10" s="81"/>
      <c r="AJ10" s="81"/>
    </row>
    <row r="11" spans="1:36" ht="141" customHeight="1" x14ac:dyDescent="0.2">
      <c r="A11" s="82" t="str">
        <f>'2 CONTEXTO E IDENTIFICACIÓN'!A12</f>
        <v>PLES-4</v>
      </c>
      <c r="B11" s="83" t="str">
        <f>+'2 CONTEXTO E IDENTIFICACIÓN'!J12</f>
        <v>Posibilidad de afectación reputacional por falta de coordinación y liderazgo interno relacionado con el tema de innovación
 a causa de   la inexistencia de una politica actualizada que se ajuste  a las necesidades  de la entidad y el sector</v>
      </c>
      <c r="C11" s="84" t="str">
        <f>+'3 PROBABIL E IMPACTO INHERENTE'!F11</f>
        <v>Media</v>
      </c>
      <c r="D11" s="84" t="str">
        <f>+'3 PROBABIL E IMPACTO INHERENTE'!N11</f>
        <v>Moderado</v>
      </c>
      <c r="E11" s="83"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5"/>
      <c r="G11" s="480"/>
      <c r="H11" s="76" t="s">
        <v>276</v>
      </c>
      <c r="I11" s="90"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0"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0"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PLES-1 PLES-2 PLES-4                 </v>
      </c>
      <c r="L11" s="86"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7"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5"/>
      <c r="O11" s="478"/>
      <c r="P11" s="88">
        <v>0.6</v>
      </c>
      <c r="Q11" s="79" t="s">
        <v>276</v>
      </c>
      <c r="R11" s="90" t="s">
        <v>278</v>
      </c>
      <c r="S11" s="90" t="s">
        <v>278</v>
      </c>
      <c r="T11" s="90" t="s">
        <v>278</v>
      </c>
      <c r="U11" s="86" t="s">
        <v>296</v>
      </c>
      <c r="V11" s="87" t="s">
        <v>297</v>
      </c>
      <c r="Y11" s="69"/>
      <c r="Z11" s="69"/>
      <c r="AA11" s="81"/>
      <c r="AB11" s="91"/>
      <c r="AC11" s="92"/>
      <c r="AD11" s="89"/>
      <c r="AE11" s="89"/>
      <c r="AF11" s="89"/>
      <c r="AG11" s="89"/>
      <c r="AH11" s="93"/>
      <c r="AI11" s="81"/>
      <c r="AJ11" s="81"/>
    </row>
    <row r="12" spans="1:36" ht="148.5" customHeight="1" x14ac:dyDescent="0.2">
      <c r="A12" s="82" t="e">
        <f>'2 CONTEXTO E IDENTIFICACIÓN'!#REF!</f>
        <v>#REF!</v>
      </c>
      <c r="B12" s="83" t="e">
        <f>+'2 CONTEXTO E IDENTIFICACIÓN'!#REF!</f>
        <v>#REF!</v>
      </c>
      <c r="C12" s="84" t="str">
        <f>+'3 PROBABIL E IMPACTO INHERENTE'!F12</f>
        <v>Baja</v>
      </c>
      <c r="D12" s="84" t="str">
        <f>+'3 PROBABIL E IMPACTO INHERENTE'!N12</f>
        <v>Menor</v>
      </c>
      <c r="E12" s="83"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5"/>
      <c r="G12" s="480"/>
      <c r="H12" s="76" t="s">
        <v>272</v>
      </c>
      <c r="I12" s="94"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0" t="e">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#REF!</v>
      </c>
      <c r="K12" s="90"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6"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7"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5"/>
      <c r="O12" s="478"/>
      <c r="P12" s="88">
        <v>0.4</v>
      </c>
      <c r="Q12" s="79" t="s">
        <v>272</v>
      </c>
      <c r="R12" s="94" t="s">
        <v>298</v>
      </c>
      <c r="S12" s="90" t="s">
        <v>278</v>
      </c>
      <c r="T12" s="90" t="s">
        <v>278</v>
      </c>
      <c r="U12" s="86" t="s">
        <v>296</v>
      </c>
      <c r="V12" s="87" t="s">
        <v>297</v>
      </c>
      <c r="Y12" s="69"/>
      <c r="Z12" s="69"/>
      <c r="AA12" s="81"/>
      <c r="AB12" s="91"/>
      <c r="AC12" s="92"/>
      <c r="AD12" s="89"/>
      <c r="AE12" s="89"/>
      <c r="AF12" s="89"/>
      <c r="AG12" s="93"/>
      <c r="AH12" s="89"/>
      <c r="AI12" s="81"/>
      <c r="AJ12" s="81"/>
    </row>
    <row r="13" spans="1:36" ht="13.5" thickBot="1" x14ac:dyDescent="0.25">
      <c r="A13" s="82" t="e">
        <f>'2 CONTEXTO E IDENTIFICACIÓN'!#REF!</f>
        <v>#REF!</v>
      </c>
      <c r="B13" s="83" t="e">
        <f>+'2 CONTEXTO E IDENTIFICACIÓN'!#REF!</f>
        <v>#REF!</v>
      </c>
      <c r="C13" s="84">
        <f>+'3 PROBABIL E IMPACTO INHERENTE'!F13</f>
        <v>0</v>
      </c>
      <c r="D13" s="84">
        <f>+'3 PROBABIL E IMPACTO INHERENTE'!N13</f>
        <v>0</v>
      </c>
      <c r="E13" s="83" t="str">
        <f t="shared" si="0"/>
        <v/>
      </c>
      <c r="F13" s="85"/>
      <c r="G13" s="481"/>
      <c r="H13" s="95" t="s">
        <v>268</v>
      </c>
      <c r="I13" s="96"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6"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7"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98"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99"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5"/>
      <c r="O13" s="479"/>
      <c r="P13" s="100">
        <v>0.2</v>
      </c>
      <c r="Q13" s="101" t="s">
        <v>268</v>
      </c>
      <c r="R13" s="96" t="s">
        <v>298</v>
      </c>
      <c r="S13" s="96" t="s">
        <v>298</v>
      </c>
      <c r="T13" s="97" t="s">
        <v>278</v>
      </c>
      <c r="U13" s="98" t="s">
        <v>296</v>
      </c>
      <c r="V13" s="99" t="s">
        <v>297</v>
      </c>
      <c r="Y13" s="69"/>
      <c r="Z13" s="69"/>
      <c r="AA13" s="81"/>
      <c r="AB13" s="91"/>
      <c r="AC13" s="92"/>
      <c r="AD13" s="89"/>
      <c r="AE13" s="89"/>
      <c r="AF13" s="89"/>
      <c r="AG13" s="102"/>
      <c r="AH13" s="89"/>
      <c r="AI13" s="81"/>
      <c r="AJ13" s="81"/>
    </row>
    <row r="14" spans="1:36" ht="93" hidden="1" customHeight="1" x14ac:dyDescent="0.2">
      <c r="A14" s="82" t="e">
        <f>'2 CONTEXTO E IDENTIFICACIÓN'!#REF!</f>
        <v>#REF!</v>
      </c>
      <c r="B14" s="83" t="e">
        <f>+'2 CONTEXTO E IDENTIFICACIÓN'!#REF!</f>
        <v>#REF!</v>
      </c>
      <c r="C14" s="84" t="str">
        <f>+'3 PROBABIL E IMPACTO INHERENTE'!F14</f>
        <v/>
      </c>
      <c r="D14" s="84" t="str">
        <f>+'3 PROBABIL E IMPACTO INHERENTE'!N14</f>
        <v/>
      </c>
      <c r="E14" s="83" t="str">
        <f t="shared" si="0"/>
        <v/>
      </c>
      <c r="F14" s="85"/>
      <c r="G14" s="85"/>
      <c r="H14" s="85"/>
      <c r="I14" s="85"/>
      <c r="J14" s="85"/>
      <c r="K14" s="85"/>
      <c r="L14" s="85"/>
      <c r="M14" s="85"/>
      <c r="N14" s="85"/>
      <c r="Y14" s="69"/>
      <c r="Z14" s="69"/>
      <c r="AA14" s="81"/>
      <c r="AB14" s="91"/>
      <c r="AC14" s="92"/>
      <c r="AD14" s="89"/>
      <c r="AE14" s="89"/>
      <c r="AF14" s="89"/>
      <c r="AG14" s="89"/>
      <c r="AH14" s="89"/>
      <c r="AI14" s="81"/>
      <c r="AJ14" s="81"/>
    </row>
    <row r="15" spans="1:36" ht="93" hidden="1" customHeight="1" x14ac:dyDescent="0.2">
      <c r="A15" s="82" t="e">
        <f>'2 CONTEXTO E IDENTIFICACIÓN'!#REF!</f>
        <v>#REF!</v>
      </c>
      <c r="B15" s="83" t="e">
        <f>+'2 CONTEXTO E IDENTIFICACIÓN'!#REF!</f>
        <v>#REF!</v>
      </c>
      <c r="C15" s="84" t="str">
        <f>+'3 PROBABIL E IMPACTO INHERENTE'!F15</f>
        <v/>
      </c>
      <c r="D15" s="84" t="str">
        <f>+'3 PROBABIL E IMPACTO INHERENTE'!N15</f>
        <v/>
      </c>
      <c r="E15" s="83" t="str">
        <f t="shared" si="0"/>
        <v/>
      </c>
      <c r="F15" s="85"/>
      <c r="G15" s="85"/>
      <c r="H15" s="85"/>
      <c r="I15" s="85"/>
      <c r="J15" s="85"/>
      <c r="K15" s="85"/>
      <c r="L15" s="85"/>
      <c r="M15" s="85"/>
      <c r="N15" s="85"/>
      <c r="R15" s="73" t="s">
        <v>299</v>
      </c>
      <c r="T15" s="69"/>
      <c r="U15" s="69"/>
      <c r="V15" s="69"/>
      <c r="W15" s="69"/>
      <c r="X15" s="69"/>
      <c r="Y15" s="69"/>
      <c r="Z15" s="69"/>
      <c r="AA15" s="81"/>
      <c r="AB15" s="91"/>
      <c r="AC15" s="81"/>
      <c r="AD15" s="92"/>
      <c r="AE15" s="92"/>
      <c r="AF15" s="92"/>
      <c r="AG15" s="92"/>
      <c r="AH15" s="92"/>
      <c r="AI15" s="81"/>
      <c r="AJ15" s="81"/>
    </row>
    <row r="16" spans="1:36" ht="93" hidden="1" customHeight="1" x14ac:dyDescent="0.2">
      <c r="A16" s="82" t="e">
        <f>'2 CONTEXTO E IDENTIFICACIÓN'!#REF!</f>
        <v>#REF!</v>
      </c>
      <c r="B16" s="83" t="e">
        <f>+'2 CONTEXTO E IDENTIFICACIÓN'!#REF!</f>
        <v>#REF!</v>
      </c>
      <c r="C16" s="84" t="str">
        <f>+'3 PROBABIL E IMPACTO INHERENTE'!F16</f>
        <v/>
      </c>
      <c r="D16" s="84" t="str">
        <f>+'3 PROBABIL E IMPACTO INHERENTE'!N16</f>
        <v/>
      </c>
      <c r="E16" s="83" t="str">
        <f t="shared" si="0"/>
        <v/>
      </c>
      <c r="F16" s="85"/>
      <c r="G16" s="85"/>
      <c r="H16" s="85"/>
      <c r="I16" s="85"/>
      <c r="J16" s="85"/>
      <c r="K16" s="85"/>
      <c r="L16" s="85"/>
      <c r="M16" s="85"/>
      <c r="N16" s="85"/>
      <c r="R16" s="103" t="s">
        <v>297</v>
      </c>
      <c r="T16" s="69"/>
      <c r="U16" s="69"/>
      <c r="V16" s="69"/>
      <c r="W16" s="69"/>
      <c r="X16" s="69"/>
      <c r="Y16" s="69"/>
      <c r="Z16" s="69"/>
      <c r="AA16" s="81"/>
      <c r="AB16" s="81"/>
      <c r="AC16" s="81"/>
      <c r="AD16" s="89"/>
      <c r="AE16" s="89"/>
      <c r="AF16" s="89"/>
      <c r="AG16" s="89"/>
      <c r="AH16" s="89"/>
      <c r="AI16" s="81"/>
      <c r="AJ16" s="81"/>
    </row>
    <row r="17" spans="1:36" ht="93" hidden="1" customHeight="1" x14ac:dyDescent="0.2">
      <c r="A17" s="82" t="e">
        <f>'2 CONTEXTO E IDENTIFICACIÓN'!#REF!</f>
        <v>#REF!</v>
      </c>
      <c r="B17" s="83" t="e">
        <f>+'2 CONTEXTO E IDENTIFICACIÓN'!#REF!</f>
        <v>#REF!</v>
      </c>
      <c r="C17" s="84" t="str">
        <f>+'3 PROBABIL E IMPACTO INHERENTE'!F17</f>
        <v/>
      </c>
      <c r="D17" s="84" t="str">
        <f>+'3 PROBABIL E IMPACTO INHERENTE'!N17</f>
        <v/>
      </c>
      <c r="E17" s="83" t="str">
        <f t="shared" si="0"/>
        <v/>
      </c>
      <c r="F17" s="85"/>
      <c r="G17" s="85"/>
      <c r="H17" s="85"/>
      <c r="I17" s="85"/>
      <c r="J17" s="85"/>
      <c r="K17" s="85"/>
      <c r="L17" s="85"/>
      <c r="M17" s="85"/>
      <c r="N17" s="85"/>
      <c r="R17" s="86" t="s">
        <v>296</v>
      </c>
      <c r="S17" s="69"/>
      <c r="T17" s="69"/>
      <c r="U17" s="69"/>
      <c r="V17" s="69"/>
      <c r="W17" s="69"/>
      <c r="X17" s="69"/>
      <c r="Y17" s="69"/>
      <c r="Z17" s="69"/>
      <c r="AA17" s="81"/>
      <c r="AB17" s="81"/>
      <c r="AC17" s="81"/>
      <c r="AD17" s="89"/>
      <c r="AE17" s="89"/>
      <c r="AF17" s="89"/>
      <c r="AG17" s="89"/>
      <c r="AH17" s="89"/>
      <c r="AI17" s="81"/>
      <c r="AJ17" s="81"/>
    </row>
    <row r="18" spans="1:36" ht="93" hidden="1" customHeight="1" x14ac:dyDescent="0.2">
      <c r="A18" s="82" t="e">
        <f>'2 CONTEXTO E IDENTIFICACIÓN'!#REF!</f>
        <v>#REF!</v>
      </c>
      <c r="B18" s="83" t="e">
        <f>+'2 CONTEXTO E IDENTIFICACIÓN'!#REF!</f>
        <v>#REF!</v>
      </c>
      <c r="C18" s="84" t="str">
        <f>+'3 PROBABIL E IMPACTO INHERENTE'!F18</f>
        <v/>
      </c>
      <c r="D18" s="84" t="str">
        <f>+'3 PROBABIL E IMPACTO INHERENTE'!N18</f>
        <v/>
      </c>
      <c r="E18" s="83" t="str">
        <f t="shared" si="0"/>
        <v/>
      </c>
      <c r="F18" s="85"/>
      <c r="G18" s="85"/>
      <c r="H18" s="85"/>
      <c r="I18" s="85"/>
      <c r="J18" s="85"/>
      <c r="K18" s="85"/>
      <c r="L18" s="85"/>
      <c r="M18" s="85"/>
      <c r="N18" s="85"/>
      <c r="Q18" s="104"/>
      <c r="R18" s="90" t="s">
        <v>278</v>
      </c>
      <c r="S18" s="104"/>
      <c r="T18" s="104"/>
      <c r="U18" s="104"/>
      <c r="V18" s="104"/>
      <c r="W18" s="104"/>
      <c r="X18" s="104"/>
      <c r="Y18" s="104"/>
      <c r="Z18" s="104"/>
      <c r="AA18" s="81"/>
      <c r="AB18" s="81"/>
      <c r="AC18" s="105"/>
      <c r="AD18" s="105"/>
      <c r="AE18" s="105"/>
      <c r="AF18" s="105"/>
      <c r="AG18" s="105"/>
      <c r="AH18" s="105"/>
      <c r="AI18" s="81"/>
      <c r="AJ18" s="81"/>
    </row>
    <row r="19" spans="1:36" ht="93" hidden="1" customHeight="1" x14ac:dyDescent="0.2">
      <c r="A19" s="82" t="e">
        <f>'2 CONTEXTO E IDENTIFICACIÓN'!#REF!</f>
        <v>#REF!</v>
      </c>
      <c r="B19" s="83" t="e">
        <f>+'2 CONTEXTO E IDENTIFICACIÓN'!#REF!</f>
        <v>#REF!</v>
      </c>
      <c r="C19" s="84" t="str">
        <f>+'3 PROBABIL E IMPACTO INHERENTE'!F19</f>
        <v/>
      </c>
      <c r="D19" s="84" t="str">
        <f>+'3 PROBABIL E IMPACTO INHERENTE'!N19</f>
        <v/>
      </c>
      <c r="E19" s="83" t="str">
        <f t="shared" si="0"/>
        <v/>
      </c>
      <c r="F19" s="85"/>
      <c r="G19" s="85"/>
      <c r="H19" s="85"/>
      <c r="I19" s="85"/>
      <c r="J19" s="85"/>
      <c r="K19" s="85"/>
      <c r="L19" s="85"/>
      <c r="M19" s="85"/>
      <c r="N19" s="85"/>
      <c r="Q19" s="104"/>
      <c r="R19" s="94" t="s">
        <v>298</v>
      </c>
      <c r="Y19" s="104"/>
      <c r="Z19" s="104"/>
      <c r="AA19" s="81"/>
      <c r="AB19" s="81"/>
      <c r="AC19" s="81"/>
      <c r="AD19" s="89"/>
      <c r="AE19" s="89"/>
      <c r="AF19" s="89"/>
      <c r="AG19" s="89"/>
      <c r="AH19" s="89"/>
      <c r="AI19" s="81"/>
      <c r="AJ19" s="81"/>
    </row>
    <row r="20" spans="1:36" ht="93" hidden="1" customHeight="1" x14ac:dyDescent="0.2">
      <c r="A20" s="82" t="e">
        <f>'2 CONTEXTO E IDENTIFICACIÓN'!#REF!</f>
        <v>#REF!</v>
      </c>
      <c r="B20" s="83" t="e">
        <f>+'2 CONTEXTO E IDENTIFICACIÓN'!#REF!</f>
        <v>#REF!</v>
      </c>
      <c r="C20" s="84" t="str">
        <f>+'3 PROBABIL E IMPACTO INHERENTE'!F20</f>
        <v/>
      </c>
      <c r="D20" s="84" t="str">
        <f>+'3 PROBABIL E IMPACTO INHERENTE'!N20</f>
        <v/>
      </c>
      <c r="E20" s="83" t="str">
        <f t="shared" si="0"/>
        <v/>
      </c>
      <c r="F20" s="85"/>
      <c r="G20" s="85"/>
      <c r="H20" s="85"/>
      <c r="I20" s="85"/>
      <c r="J20" s="85"/>
      <c r="K20" s="85"/>
      <c r="L20" s="85"/>
      <c r="M20" s="85"/>
      <c r="N20" s="85"/>
      <c r="O20" s="106"/>
      <c r="P20" s="106"/>
      <c r="Q20" s="104"/>
      <c r="Y20" s="104"/>
      <c r="Z20" s="104"/>
      <c r="AA20" s="81"/>
      <c r="AB20" s="81"/>
      <c r="AC20" s="81"/>
      <c r="AD20" s="89"/>
      <c r="AE20" s="89"/>
      <c r="AF20" s="89"/>
      <c r="AG20" s="89"/>
      <c r="AH20" s="89"/>
      <c r="AI20" s="81"/>
      <c r="AJ20" s="81"/>
    </row>
    <row r="21" spans="1:36" ht="93" hidden="1" customHeight="1" x14ac:dyDescent="0.2">
      <c r="A21" s="82" t="e">
        <f>'2 CONTEXTO E IDENTIFICACIÓN'!#REF!</f>
        <v>#REF!</v>
      </c>
      <c r="B21" s="83" t="e">
        <f>+'2 CONTEXTO E IDENTIFICACIÓN'!#REF!</f>
        <v>#REF!</v>
      </c>
      <c r="C21" s="84" t="str">
        <f>+'3 PROBABIL E IMPACTO INHERENTE'!F21</f>
        <v/>
      </c>
      <c r="D21" s="84" t="str">
        <f>+'3 PROBABIL E IMPACTO INHERENTE'!N21</f>
        <v/>
      </c>
      <c r="E21" s="83" t="str">
        <f t="shared" si="0"/>
        <v/>
      </c>
      <c r="F21" s="85"/>
      <c r="G21" s="85"/>
      <c r="H21" s="85"/>
      <c r="I21" s="85"/>
      <c r="J21" s="85"/>
      <c r="K21" s="85"/>
      <c r="L21" s="85"/>
      <c r="M21" s="85"/>
      <c r="N21" s="85"/>
      <c r="O21" s="106"/>
      <c r="P21" s="106"/>
      <c r="Q21" s="107"/>
      <c r="Y21" s="104"/>
      <c r="Z21" s="104"/>
      <c r="AA21" s="81"/>
      <c r="AB21" s="102"/>
      <c r="AC21" s="102"/>
      <c r="AD21" s="102"/>
      <c r="AE21" s="102"/>
      <c r="AF21" s="102"/>
      <c r="AG21" s="102"/>
      <c r="AH21" s="89"/>
      <c r="AI21" s="81"/>
      <c r="AJ21" s="81"/>
    </row>
    <row r="22" spans="1:36" ht="93" hidden="1" customHeight="1" x14ac:dyDescent="0.2">
      <c r="A22" s="82" t="e">
        <f>'2 CONTEXTO E IDENTIFICACIÓN'!#REF!</f>
        <v>#REF!</v>
      </c>
      <c r="B22" s="83" t="e">
        <f>+'2 CONTEXTO E IDENTIFICACIÓN'!#REF!</f>
        <v>#REF!</v>
      </c>
      <c r="C22" s="84" t="str">
        <f>+'3 PROBABIL E IMPACTO INHERENTE'!F22</f>
        <v/>
      </c>
      <c r="D22" s="84" t="str">
        <f>+'3 PROBABIL E IMPACTO INHERENTE'!N22</f>
        <v/>
      </c>
      <c r="E22" s="83" t="str">
        <f t="shared" si="0"/>
        <v/>
      </c>
      <c r="F22" s="85"/>
      <c r="G22" s="85"/>
      <c r="H22" s="85"/>
      <c r="I22" s="85"/>
      <c r="J22" s="85"/>
      <c r="K22" s="85"/>
      <c r="L22" s="85"/>
      <c r="M22" s="85"/>
      <c r="N22" s="85"/>
      <c r="O22" s="106"/>
      <c r="P22" s="106"/>
      <c r="AA22" s="81"/>
      <c r="AB22" s="108"/>
      <c r="AC22" s="108"/>
      <c r="AD22" s="108"/>
      <c r="AE22" s="108"/>
      <c r="AF22" s="108"/>
      <c r="AG22" s="108"/>
      <c r="AH22" s="89"/>
      <c r="AI22" s="81"/>
      <c r="AJ22" s="81"/>
    </row>
    <row r="23" spans="1:36" ht="93" hidden="1" customHeight="1" x14ac:dyDescent="0.2">
      <c r="A23" s="82" t="e">
        <f>'2 CONTEXTO E IDENTIFICACIÓN'!#REF!</f>
        <v>#REF!</v>
      </c>
      <c r="B23" s="83" t="e">
        <f>+'2 CONTEXTO E IDENTIFICACIÓN'!#REF!</f>
        <v>#REF!</v>
      </c>
      <c r="C23" s="84" t="str">
        <f>+'3 PROBABIL E IMPACTO INHERENTE'!F23</f>
        <v/>
      </c>
      <c r="D23" s="84" t="str">
        <f>+'3 PROBABIL E IMPACTO INHERENTE'!N23</f>
        <v/>
      </c>
      <c r="E23" s="83" t="str">
        <f t="shared" si="0"/>
        <v/>
      </c>
      <c r="F23" s="85"/>
      <c r="G23" s="85"/>
      <c r="H23" s="85"/>
      <c r="I23" s="85"/>
      <c r="J23" s="85"/>
      <c r="K23" s="85"/>
      <c r="L23" s="85"/>
      <c r="M23" s="85"/>
      <c r="N23" s="85"/>
      <c r="O23" s="106"/>
      <c r="P23" s="106"/>
      <c r="AA23" s="81"/>
      <c r="AB23" s="102"/>
      <c r="AC23" s="102"/>
      <c r="AD23" s="102"/>
      <c r="AE23" s="102"/>
      <c r="AF23" s="102"/>
      <c r="AG23" s="102"/>
      <c r="AH23" s="89"/>
      <c r="AI23" s="81"/>
      <c r="AJ23" s="81"/>
    </row>
    <row r="24" spans="1:36" ht="93" hidden="1" customHeight="1" x14ac:dyDescent="0.2">
      <c r="A24" s="82" t="e">
        <f>'2 CONTEXTO E IDENTIFICACIÓN'!#REF!</f>
        <v>#REF!</v>
      </c>
      <c r="B24" s="83" t="e">
        <f>+'2 CONTEXTO E IDENTIFICACIÓN'!#REF!</f>
        <v>#REF!</v>
      </c>
      <c r="C24" s="84" t="str">
        <f>+'3 PROBABIL E IMPACTO INHERENTE'!F24</f>
        <v/>
      </c>
      <c r="D24" s="84" t="str">
        <f>+'3 PROBABIL E IMPACTO INHERENTE'!N24</f>
        <v/>
      </c>
      <c r="E24" s="83" t="str">
        <f t="shared" si="0"/>
        <v/>
      </c>
      <c r="F24" s="85"/>
      <c r="G24" s="85"/>
      <c r="H24" s="85"/>
      <c r="I24" s="85"/>
      <c r="J24" s="85"/>
      <c r="K24" s="85"/>
      <c r="L24" s="85"/>
      <c r="M24" s="85"/>
      <c r="N24" s="85"/>
      <c r="AA24" s="81"/>
      <c r="AB24" s="102"/>
      <c r="AC24" s="102"/>
      <c r="AD24" s="102"/>
      <c r="AE24" s="102"/>
      <c r="AF24" s="102"/>
      <c r="AG24" s="102"/>
      <c r="AH24" s="89"/>
      <c r="AI24" s="81"/>
      <c r="AJ24" s="81"/>
    </row>
    <row r="25" spans="1:36" ht="93" hidden="1" customHeight="1" x14ac:dyDescent="0.25">
      <c r="A25" s="82" t="e">
        <f>'2 CONTEXTO E IDENTIFICACIÓN'!#REF!</f>
        <v>#REF!</v>
      </c>
      <c r="B25" s="83" t="e">
        <f>+'2 CONTEXTO E IDENTIFICACIÓN'!#REF!</f>
        <v>#REF!</v>
      </c>
      <c r="C25" s="84" t="str">
        <f>+'3 PROBABIL E IMPACTO INHERENTE'!F25</f>
        <v/>
      </c>
      <c r="D25" s="84" t="str">
        <f>+'3 PROBABIL E IMPACTO INHERENTE'!N25</f>
        <v/>
      </c>
      <c r="E25" s="83" t="str">
        <f t="shared" si="0"/>
        <v/>
      </c>
      <c r="F25" s="85"/>
      <c r="G25" s="85"/>
      <c r="H25" s="85"/>
      <c r="I25" s="85"/>
      <c r="J25" s="85"/>
      <c r="K25" s="85"/>
      <c r="L25" s="85"/>
      <c r="M25" s="85"/>
      <c r="N25" s="85"/>
    </row>
    <row r="26" spans="1:36" ht="93" hidden="1" customHeight="1" x14ac:dyDescent="0.25">
      <c r="A26" s="82" t="e">
        <f>'2 CONTEXTO E IDENTIFICACIÓN'!#REF!</f>
        <v>#REF!</v>
      </c>
      <c r="B26" s="83" t="e">
        <f>+'2 CONTEXTO E IDENTIFICACIÓN'!#REF!</f>
        <v>#REF!</v>
      </c>
      <c r="C26" s="84" t="str">
        <f>+'3 PROBABIL E IMPACTO INHERENTE'!F26</f>
        <v/>
      </c>
      <c r="D26" s="84" t="str">
        <f>+'3 PROBABIL E IMPACTO INHERENTE'!N26</f>
        <v/>
      </c>
      <c r="E26" s="83" t="str">
        <f t="shared" si="0"/>
        <v/>
      </c>
      <c r="F26" s="85"/>
      <c r="G26" s="85"/>
      <c r="H26" s="85"/>
      <c r="I26" s="85"/>
      <c r="J26" s="85"/>
      <c r="K26" s="85"/>
      <c r="L26" s="85"/>
      <c r="M26" s="85"/>
      <c r="N26" s="85"/>
    </row>
    <row r="27" spans="1:36" ht="93" hidden="1" customHeight="1" x14ac:dyDescent="0.25">
      <c r="A27" s="82" t="e">
        <f>'2 CONTEXTO E IDENTIFICACIÓN'!#REF!</f>
        <v>#REF!</v>
      </c>
      <c r="B27" s="83" t="e">
        <f>+'2 CONTEXTO E IDENTIFICACIÓN'!#REF!</f>
        <v>#REF!</v>
      </c>
      <c r="C27" s="84" t="str">
        <f>+'3 PROBABIL E IMPACTO INHERENTE'!F27</f>
        <v/>
      </c>
      <c r="D27" s="84" t="str">
        <f>+'3 PROBABIL E IMPACTO INHERENTE'!N27</f>
        <v/>
      </c>
      <c r="E27" s="83" t="str">
        <f t="shared" si="0"/>
        <v/>
      </c>
      <c r="F27" s="85"/>
      <c r="G27" s="85"/>
      <c r="H27" s="85"/>
      <c r="I27" s="85"/>
      <c r="J27" s="85"/>
      <c r="K27" s="85"/>
      <c r="L27" s="85"/>
      <c r="M27" s="85"/>
      <c r="N27" s="85"/>
    </row>
    <row r="28" spans="1:36" ht="93" hidden="1" customHeight="1" x14ac:dyDescent="0.25">
      <c r="A28" s="82" t="e">
        <f>'2 CONTEXTO E IDENTIFICACIÓN'!#REF!</f>
        <v>#REF!</v>
      </c>
      <c r="B28" s="83" t="e">
        <f>+'2 CONTEXTO E IDENTIFICACIÓN'!#REF!</f>
        <v>#REF!</v>
      </c>
      <c r="C28" s="84" t="str">
        <f>+'3 PROBABIL E IMPACTO INHERENTE'!F28</f>
        <v/>
      </c>
      <c r="D28" s="84" t="str">
        <f>+'3 PROBABIL E IMPACTO INHERENTE'!N28</f>
        <v/>
      </c>
      <c r="E28" s="83" t="str">
        <f t="shared" si="0"/>
        <v/>
      </c>
      <c r="F28" s="85"/>
      <c r="G28" s="85"/>
      <c r="H28" s="85"/>
      <c r="I28" s="85"/>
      <c r="J28" s="85"/>
      <c r="K28" s="85"/>
      <c r="L28" s="85"/>
      <c r="M28" s="85"/>
      <c r="N28" s="85"/>
    </row>
    <row r="29" spans="1:36" ht="14.45" hidden="1" customHeight="1" x14ac:dyDescent="0.25">
      <c r="B29" s="65"/>
      <c r="D29" s="65"/>
      <c r="E29" s="65"/>
      <c r="F29" s="65"/>
      <c r="G29" s="65"/>
      <c r="H29" s="65"/>
      <c r="I29" s="65"/>
      <c r="J29" s="65"/>
      <c r="K29" s="65"/>
      <c r="L29" s="65"/>
      <c r="M29" s="65"/>
      <c r="N29" s="65"/>
      <c r="Y29" s="70"/>
      <c r="Z29" s="70"/>
      <c r="AA29" s="70"/>
      <c r="AB29" s="70"/>
      <c r="AC29" s="70"/>
      <c r="AD29" s="65"/>
      <c r="AE29" s="65"/>
      <c r="AF29" s="65"/>
      <c r="AG29" s="65"/>
      <c r="AH29" s="65"/>
    </row>
    <row r="30" spans="1:36" ht="39" hidden="1" customHeight="1" x14ac:dyDescent="0.25">
      <c r="B30" s="65"/>
      <c r="D30" s="65"/>
      <c r="E30" s="65"/>
      <c r="F30" s="65"/>
      <c r="G30" s="65"/>
      <c r="H30" s="65"/>
      <c r="I30" s="65"/>
      <c r="J30" s="65"/>
      <c r="K30" s="65"/>
      <c r="L30" s="65"/>
      <c r="M30" s="65"/>
      <c r="N30" s="65"/>
      <c r="Y30" s="70"/>
      <c r="Z30" s="70"/>
      <c r="AA30" s="70"/>
      <c r="AB30" s="70"/>
      <c r="AC30" s="70"/>
      <c r="AD30" s="65"/>
      <c r="AE30" s="65"/>
      <c r="AF30" s="65"/>
      <c r="AG30" s="65"/>
      <c r="AH30" s="65"/>
    </row>
    <row r="31" spans="1:36" ht="19.5" customHeight="1" x14ac:dyDescent="0.25">
      <c r="B31" s="65"/>
      <c r="D31" s="65"/>
      <c r="E31" s="65"/>
      <c r="F31" s="65"/>
      <c r="G31" s="65"/>
      <c r="H31" s="65"/>
      <c r="I31" s="65"/>
      <c r="J31" s="65"/>
      <c r="K31" s="65"/>
      <c r="L31" s="65"/>
      <c r="M31" s="65"/>
      <c r="N31" s="65"/>
      <c r="Y31" s="70"/>
      <c r="Z31" s="70"/>
      <c r="AA31" s="70"/>
      <c r="AB31" s="70"/>
      <c r="AC31" s="70"/>
      <c r="AD31" s="65"/>
      <c r="AE31" s="65"/>
      <c r="AF31" s="65"/>
      <c r="AG31" s="65"/>
      <c r="AH31" s="65"/>
    </row>
    <row r="32" spans="1:36" ht="19.5" customHeight="1" x14ac:dyDescent="0.25">
      <c r="B32" s="65"/>
      <c r="D32" s="65"/>
      <c r="E32" s="65"/>
      <c r="F32" s="65"/>
      <c r="G32" s="65"/>
      <c r="H32" s="65"/>
      <c r="I32" s="65"/>
      <c r="J32" s="65"/>
      <c r="K32" s="65"/>
      <c r="L32" s="65"/>
      <c r="M32" s="65"/>
      <c r="N32" s="65"/>
      <c r="Y32" s="70"/>
      <c r="Z32" s="70"/>
      <c r="AA32" s="70"/>
      <c r="AB32" s="70"/>
      <c r="AC32" s="70"/>
      <c r="AD32" s="65"/>
      <c r="AE32" s="65"/>
      <c r="AF32" s="65"/>
      <c r="AG32" s="65"/>
      <c r="AH32" s="65"/>
    </row>
    <row r="33" spans="25:29" s="65" customFormat="1" ht="19.5" customHeight="1" x14ac:dyDescent="0.25">
      <c r="Y33" s="70"/>
      <c r="Z33" s="70"/>
      <c r="AA33" s="70"/>
      <c r="AB33" s="70"/>
      <c r="AC33" s="70"/>
    </row>
    <row r="34" spans="25:29" s="65" customFormat="1" ht="19.5" customHeight="1" x14ac:dyDescent="0.25">
      <c r="Y34" s="70"/>
      <c r="Z34" s="70"/>
      <c r="AA34" s="70"/>
      <c r="AB34" s="70"/>
      <c r="AC34" s="70"/>
    </row>
    <row r="35" spans="25:29" s="65" customFormat="1" ht="19.5" customHeight="1" x14ac:dyDescent="0.25">
      <c r="Y35" s="70"/>
      <c r="Z35" s="70"/>
      <c r="AA35" s="70"/>
      <c r="AB35" s="70"/>
      <c r="AC35" s="70"/>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69" priority="6" operator="equal">
      <formula>$Q$13</formula>
    </cfRule>
    <cfRule type="cellIs" dxfId="68" priority="7" operator="equal">
      <formula>$Q$12</formula>
    </cfRule>
    <cfRule type="cellIs" dxfId="67" priority="8" operator="equal">
      <formula>$Q$11</formula>
    </cfRule>
    <cfRule type="cellIs" dxfId="66" priority="9" operator="equal">
      <formula>$Q$10</formula>
    </cfRule>
    <cfRule type="cellIs" dxfId="65" priority="10" operator="equal">
      <formula>$Q$9</formula>
    </cfRule>
  </conditionalFormatting>
  <conditionalFormatting sqref="D9:D28">
    <cfRule type="cellIs" dxfId="64" priority="1" operator="equal">
      <formula>$R$8</formula>
    </cfRule>
    <cfRule type="cellIs" dxfId="63" priority="2" operator="equal">
      <formula>$S$8</formula>
    </cfRule>
    <cfRule type="cellIs" dxfId="62" priority="3" operator="equal">
      <formula>$T$8</formula>
    </cfRule>
    <cfRule type="cellIs" dxfId="61" priority="4" operator="equal">
      <formula>$U$8</formula>
    </cfRule>
    <cfRule type="cellIs" dxfId="60" priority="5" operator="equal">
      <formula>$V$8</formula>
    </cfRule>
  </conditionalFormatting>
  <conditionalFormatting sqref="E9:E28">
    <cfRule type="cellIs" dxfId="59" priority="102" operator="equal">
      <formula>$R$16</formula>
    </cfRule>
    <cfRule type="cellIs" dxfId="58" priority="103" operator="equal">
      <formula>$R$17</formula>
    </cfRule>
    <cfRule type="cellIs" dxfId="57" priority="104" operator="equal">
      <formula>$R$18</formula>
    </cfRule>
    <cfRule type="cellIs" dxfId="56"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33"/>
  <sheetViews>
    <sheetView showGridLines="0" tabSelected="1" view="pageBreakPreview" zoomScale="89" zoomScaleNormal="10" zoomScaleSheetLayoutView="89" workbookViewId="0">
      <pane xSplit="1" ySplit="7" topLeftCell="D20" activePane="bottomRight" state="frozen"/>
      <selection pane="topRight" activeCell="B1" sqref="B1"/>
      <selection pane="bottomLeft" activeCell="A7" sqref="A7"/>
      <selection pane="bottomRight" activeCell="H20" sqref="H20"/>
    </sheetView>
  </sheetViews>
  <sheetFormatPr baseColWidth="10" defaultColWidth="11.42578125" defaultRowHeight="14.25" x14ac:dyDescent="0.25"/>
  <cols>
    <col min="1" max="1" width="14.85546875" style="42" customWidth="1"/>
    <col min="2" max="2" width="44" style="42" customWidth="1"/>
    <col min="3" max="3" width="15.42578125" style="42" customWidth="1"/>
    <col min="4" max="4" width="11.42578125" style="42" customWidth="1"/>
    <col min="5" max="5" width="10.140625" style="42" customWidth="1"/>
    <col min="6" max="8" width="38.7109375" style="42" customWidth="1"/>
    <col min="9" max="9" width="66.28515625" style="42" customWidth="1"/>
    <col min="10" max="10" width="15.42578125" style="42" customWidth="1"/>
    <col min="11" max="11" width="12.140625" style="48" customWidth="1"/>
    <col min="12" max="12" width="14.140625" style="48" customWidth="1"/>
    <col min="13" max="13" width="19.42578125" style="42" bestFit="1" customWidth="1"/>
    <col min="14" max="14" width="12.140625" style="48" customWidth="1"/>
    <col min="15" max="15" width="18.85546875" style="48" customWidth="1"/>
    <col min="16" max="16" width="16.42578125" style="48" bestFit="1" customWidth="1"/>
    <col min="17" max="17" width="14.42578125" style="48" customWidth="1"/>
    <col min="18" max="18" width="13" style="48" customWidth="1"/>
    <col min="19" max="19" width="13.42578125" style="290" customWidth="1"/>
    <col min="20" max="20" width="19.42578125" style="290" customWidth="1"/>
    <col min="21" max="21" width="12.42578125" style="290" customWidth="1"/>
    <col min="22" max="22" width="16.42578125" style="141" customWidth="1"/>
    <col min="23" max="23" width="14.42578125" style="141" customWidth="1"/>
    <col min="24" max="24" width="11.42578125" style="42"/>
    <col min="25" max="25" width="21.42578125" style="4" customWidth="1"/>
    <col min="26" max="26" width="7.42578125" style="4" bestFit="1" customWidth="1"/>
    <col min="27" max="27" width="8.42578125" style="4" bestFit="1" customWidth="1"/>
    <col min="28" max="16384" width="11.42578125" style="42"/>
  </cols>
  <sheetData>
    <row r="1" spans="1:27" s="40" customFormat="1" ht="15" hidden="1" customHeight="1" x14ac:dyDescent="0.2">
      <c r="A1" s="495"/>
      <c r="B1" s="496" t="str">
        <f>+'2 CONTEXTO E IDENTIFICACIÓN'!A1</f>
        <v>MAPA DE RIESGOS</v>
      </c>
      <c r="C1" s="472"/>
      <c r="D1" s="473"/>
      <c r="E1" s="287"/>
      <c r="F1" s="364"/>
      <c r="G1" s="213" t="str">
        <f>+'2 CONTEXTO E IDENTIFICACIÓN'!$I$4</f>
        <v>Elaboración o Actualización:</v>
      </c>
      <c r="H1" s="227">
        <f>'2 CONTEXTO E IDENTIFICACIÓN'!J4</f>
        <v>46003</v>
      </c>
      <c r="I1" s="13"/>
      <c r="J1" s="13"/>
      <c r="K1" s="13"/>
      <c r="L1" s="365"/>
      <c r="M1" s="6"/>
      <c r="N1" s="365"/>
      <c r="O1" s="365"/>
      <c r="P1" s="365"/>
      <c r="Q1" s="365"/>
      <c r="R1" s="365"/>
      <c r="S1" s="366"/>
      <c r="T1" s="365"/>
      <c r="U1" s="365"/>
      <c r="V1" s="141"/>
      <c r="W1" s="141"/>
      <c r="X1" s="38"/>
      <c r="Y1" s="4"/>
      <c r="Z1" s="4"/>
      <c r="AA1" s="4"/>
    </row>
    <row r="2" spans="1:27" s="40" customFormat="1" ht="15" hidden="1" customHeight="1" x14ac:dyDescent="0.2">
      <c r="A2" s="495"/>
      <c r="B2" s="497"/>
      <c r="C2" s="39" t="str">
        <f>+'2 CONTEXTO E IDENTIFICACIÓN'!A2</f>
        <v>VERSIÓN:</v>
      </c>
      <c r="D2" s="39">
        <f>'2 CONTEXTO E IDENTIFICACIÓN'!B2</f>
        <v>0</v>
      </c>
      <c r="E2" s="287"/>
      <c r="F2" s="287"/>
      <c r="G2" s="216" t="str">
        <f>+'2 CONTEXTO E IDENTIFICACIÓN'!$E$5</f>
        <v xml:space="preserve">Vigencia: </v>
      </c>
      <c r="H2" s="214">
        <f>'2 CONTEXTO E IDENTIFICACIÓN'!G5</f>
        <v>46023</v>
      </c>
      <c r="I2" s="215" t="s">
        <v>100</v>
      </c>
      <c r="J2" s="212">
        <f>'2 CONTEXTO E IDENTIFICACIÓN'!J5</f>
        <v>46387</v>
      </c>
      <c r="K2" s="287"/>
      <c r="L2" s="367"/>
      <c r="M2" s="368"/>
      <c r="N2" s="367"/>
      <c r="O2" s="367"/>
      <c r="P2" s="367"/>
      <c r="Q2" s="367"/>
      <c r="R2" s="367"/>
      <c r="S2" s="366"/>
      <c r="T2" s="365"/>
      <c r="U2" s="287"/>
      <c r="V2" s="141"/>
      <c r="W2" s="369"/>
      <c r="X2" s="38"/>
      <c r="Y2" s="364"/>
      <c r="Z2" s="364"/>
      <c r="AA2" s="364"/>
    </row>
    <row r="3" spans="1:27" s="40" customFormat="1" ht="15" hidden="1" x14ac:dyDescent="0.2">
      <c r="A3" s="12" t="s">
        <v>95</v>
      </c>
      <c r="B3" s="462" t="str">
        <f>'2 CONTEXTO E IDENTIFICACIÓN'!B4</f>
        <v>SUPERSOLIDARIA</v>
      </c>
      <c r="C3" s="462"/>
      <c r="D3" s="462"/>
      <c r="E3" s="341"/>
      <c r="F3" s="287"/>
      <c r="G3" s="341"/>
      <c r="H3" s="341"/>
      <c r="I3" s="341"/>
      <c r="J3" s="341"/>
      <c r="K3" s="342"/>
      <c r="L3" s="342"/>
      <c r="M3" s="341"/>
      <c r="N3" s="342"/>
      <c r="O3" s="342"/>
      <c r="P3" s="342"/>
      <c r="Q3" s="342"/>
      <c r="R3" s="342"/>
      <c r="S3" s="288"/>
      <c r="T3" s="288"/>
      <c r="U3" s="288"/>
      <c r="V3" s="141"/>
      <c r="W3" s="141"/>
      <c r="X3" s="38"/>
      <c r="Y3" s="364"/>
      <c r="Z3" s="364"/>
      <c r="AA3" s="364"/>
    </row>
    <row r="4" spans="1:27" s="45" customFormat="1" ht="15.75" hidden="1" customHeight="1" x14ac:dyDescent="0.25">
      <c r="A4" s="12" t="s">
        <v>96</v>
      </c>
      <c r="B4" s="462" t="str">
        <f>'2 CONTEXTO E IDENTIFICACIÓN'!F4</f>
        <v>PLES</v>
      </c>
      <c r="C4" s="463"/>
      <c r="D4" s="463"/>
      <c r="E4" s="44" t="s">
        <v>300</v>
      </c>
      <c r="F4" s="368" t="s">
        <v>301</v>
      </c>
      <c r="G4" s="44"/>
      <c r="H4" s="44"/>
      <c r="I4" s="44"/>
      <c r="J4" s="343"/>
      <c r="K4" s="343"/>
      <c r="L4" s="343"/>
      <c r="M4" s="343"/>
      <c r="N4" s="343"/>
      <c r="O4" s="343"/>
      <c r="P4" s="343"/>
      <c r="Q4" s="343"/>
      <c r="R4" s="343"/>
      <c r="S4" s="492" t="s">
        <v>302</v>
      </c>
      <c r="T4" s="492" t="s">
        <v>303</v>
      </c>
      <c r="U4" s="492" t="s">
        <v>65</v>
      </c>
      <c r="V4" s="141"/>
      <c r="W4" s="141"/>
      <c r="X4" s="38"/>
      <c r="Y4" s="453" t="s">
        <v>304</v>
      </c>
      <c r="Z4" s="454"/>
      <c r="AA4" s="455"/>
    </row>
    <row r="5" spans="1:27" s="45" customFormat="1" ht="31.5" hidden="1" customHeight="1" x14ac:dyDescent="0.25">
      <c r="A5" s="220"/>
      <c r="B5" s="219"/>
      <c r="C5" s="219"/>
      <c r="D5" s="141"/>
      <c r="E5" s="44"/>
      <c r="F5" s="44"/>
      <c r="G5" s="44"/>
      <c r="H5" s="44"/>
      <c r="I5" s="44"/>
      <c r="J5" s="508" t="s">
        <v>305</v>
      </c>
      <c r="K5" s="509"/>
      <c r="L5" s="509"/>
      <c r="M5" s="509"/>
      <c r="N5" s="509"/>
      <c r="O5" s="509"/>
      <c r="P5" s="509"/>
      <c r="Q5" s="509"/>
      <c r="R5" s="510"/>
      <c r="S5" s="493"/>
      <c r="T5" s="493"/>
      <c r="U5" s="493"/>
      <c r="V5" s="141"/>
      <c r="W5" s="141"/>
      <c r="X5" s="38"/>
      <c r="Y5" s="21" t="s">
        <v>259</v>
      </c>
      <c r="Z5" s="22" t="s">
        <v>306</v>
      </c>
      <c r="AA5" s="23" t="s">
        <v>307</v>
      </c>
    </row>
    <row r="6" spans="1:27" ht="29.25" customHeight="1" x14ac:dyDescent="0.25">
      <c r="A6" s="489" t="s">
        <v>253</v>
      </c>
      <c r="B6" s="489" t="s">
        <v>254</v>
      </c>
      <c r="C6" s="489" t="s">
        <v>308</v>
      </c>
      <c r="D6" s="489" t="s">
        <v>309</v>
      </c>
      <c r="E6" s="498" t="s">
        <v>310</v>
      </c>
      <c r="F6" s="503" t="s">
        <v>47</v>
      </c>
      <c r="G6" s="504"/>
      <c r="H6" s="498"/>
      <c r="I6" s="360"/>
      <c r="J6" s="500" t="s">
        <v>117</v>
      </c>
      <c r="K6" s="501"/>
      <c r="L6" s="501"/>
      <c r="M6" s="501"/>
      <c r="N6" s="502"/>
      <c r="O6" s="505" t="s">
        <v>311</v>
      </c>
      <c r="P6" s="506"/>
      <c r="Q6" s="506"/>
      <c r="R6" s="507"/>
      <c r="S6" s="494"/>
      <c r="T6" s="494"/>
      <c r="U6" s="494"/>
      <c r="X6" s="38"/>
      <c r="Y6" s="296" t="s">
        <v>268</v>
      </c>
      <c r="Z6" s="28">
        <v>0.01</v>
      </c>
      <c r="AA6" s="27">
        <v>0.2</v>
      </c>
    </row>
    <row r="7" spans="1:27" s="38" customFormat="1" ht="71.25" x14ac:dyDescent="0.25">
      <c r="A7" s="490"/>
      <c r="B7" s="490"/>
      <c r="C7" s="490"/>
      <c r="D7" s="490"/>
      <c r="E7" s="499"/>
      <c r="F7" s="46" t="s">
        <v>312</v>
      </c>
      <c r="G7" s="358" t="s">
        <v>313</v>
      </c>
      <c r="H7" s="358" t="s">
        <v>314</v>
      </c>
      <c r="I7" s="358" t="s">
        <v>315</v>
      </c>
      <c r="J7" s="46" t="s">
        <v>49</v>
      </c>
      <c r="K7" s="47" t="s">
        <v>51</v>
      </c>
      <c r="L7" s="47" t="s">
        <v>53</v>
      </c>
      <c r="M7" s="46" t="s">
        <v>54</v>
      </c>
      <c r="N7" s="47" t="s">
        <v>56</v>
      </c>
      <c r="O7" s="47" t="s">
        <v>121</v>
      </c>
      <c r="P7" s="47" t="s">
        <v>122</v>
      </c>
      <c r="Q7" s="47" t="s">
        <v>316</v>
      </c>
      <c r="R7" s="47" t="s">
        <v>317</v>
      </c>
      <c r="S7" s="47" t="s">
        <v>60</v>
      </c>
      <c r="T7" s="47" t="s">
        <v>62</v>
      </c>
      <c r="U7" s="281" t="s">
        <v>64</v>
      </c>
      <c r="V7" s="47" t="s">
        <v>318</v>
      </c>
      <c r="W7" s="47" t="s">
        <v>319</v>
      </c>
      <c r="Y7" s="297" t="s">
        <v>272</v>
      </c>
      <c r="Z7" s="28">
        <v>0.21</v>
      </c>
      <c r="AA7" s="27">
        <v>0.4</v>
      </c>
    </row>
    <row r="8" spans="1:27" ht="195.75" customHeight="1" x14ac:dyDescent="0.25">
      <c r="A8" s="526" t="str">
        <f>'2 CONTEXTO E IDENTIFICACIÓN'!A9</f>
        <v>PLES-1</v>
      </c>
      <c r="B8" s="517" t="str">
        <f>+'2 CONTEXTO E IDENTIFICACIÓN'!J9</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C8" s="491">
        <f>+'3 PROBABIL E IMPACTO INHERENTE'!E9</f>
        <v>0.6</v>
      </c>
      <c r="D8" s="491">
        <f>+'3 PROBABIL E IMPACTO INHERENTE'!M9</f>
        <v>0.6</v>
      </c>
      <c r="E8" s="344">
        <v>1</v>
      </c>
      <c r="F8" s="203" t="s">
        <v>384</v>
      </c>
      <c r="G8" s="203" t="s">
        <v>386</v>
      </c>
      <c r="H8" s="203" t="s">
        <v>383</v>
      </c>
      <c r="I8" s="280" t="str">
        <f>+CONCATENATE(F8," ",G8," ",H8)</f>
        <v>El Profesional Especializado contrasta los soportes documentales entregados por las dependencias con las cifras reportadas en los instrumentos de seguimiento, verifica la consistencia de la información y la exactitud de los cálculos y, cuando identifica inconsistencias aritméticas o documentales, realiza las observaciones y devoluciones correspondientes, de acuerdo con los procedimientos establecidos para el seguimiento del Plan Estratégico Institucional y del Plan de Acción, previo a la consolidación de la información que será presentada al Comité Institucional de Gestión y Desempeño Como evidencia, de manera trimestral (al 30 de abril, julio, octubre, enero) deberá conservar la matriz de seguimiento utilizada para la verificación y consolidación de la información, junto con los soportes de las observaciones y recomendaciones y las certificaciones expedidas por la Secretaría Técnica del Comité Institucional de Gestión y Desempeño.</v>
      </c>
      <c r="J8" s="203" t="s">
        <v>131</v>
      </c>
      <c r="K8" s="289">
        <f>+IFERROR(VLOOKUP($J8,'11 FORMULAS'!$B$51:$C$53,2,0),"")</f>
        <v>0.25</v>
      </c>
      <c r="L8" s="289" t="str">
        <f>+IFERROR(VLOOKUP($J8,'11 FORMULAS'!$B$51:$D$53,3,0),"")</f>
        <v>Probabilidad</v>
      </c>
      <c r="M8" s="345" t="s">
        <v>143</v>
      </c>
      <c r="N8" s="289">
        <f>+IFERROR(VLOOKUP($M8,'11 FORMULAS'!$B$54:$C$55,2,0),"")</f>
        <v>0.15</v>
      </c>
      <c r="O8" s="347" t="s">
        <v>133</v>
      </c>
      <c r="P8" s="347" t="s">
        <v>239</v>
      </c>
      <c r="Q8" s="347" t="s">
        <v>135</v>
      </c>
      <c r="R8" s="347" t="s">
        <v>136</v>
      </c>
      <c r="S8" s="289">
        <f>+IFERROR($K8+$N8,"")</f>
        <v>0.4</v>
      </c>
      <c r="T8" s="289">
        <f>IF($L8='11 FORMULAS'!$D$51,$C$8-($C$8*$S$8),$C$8)</f>
        <v>0.36</v>
      </c>
      <c r="U8" s="289">
        <f>IF(L8='11 FORMULAS'!$D$53,$D8-($D8*$S8),$D8)</f>
        <v>0.6</v>
      </c>
      <c r="V8" s="533">
        <f>+IF(T13="","",T13)</f>
        <v>0.36</v>
      </c>
      <c r="W8" s="533">
        <f>+IF(U13="","",U13)</f>
        <v>0.6</v>
      </c>
      <c r="X8" s="38"/>
      <c r="Y8" s="298" t="s">
        <v>276</v>
      </c>
      <c r="Z8" s="28">
        <v>0.41</v>
      </c>
      <c r="AA8" s="27">
        <v>0.6</v>
      </c>
    </row>
    <row r="9" spans="1:27" ht="28.5" hidden="1" x14ac:dyDescent="0.25">
      <c r="A9" s="526"/>
      <c r="B9" s="517"/>
      <c r="C9" s="491"/>
      <c r="D9" s="491"/>
      <c r="E9" s="344">
        <v>2</v>
      </c>
      <c r="F9" s="203"/>
      <c r="G9" s="203"/>
      <c r="H9" s="203"/>
      <c r="I9" s="280" t="str">
        <f t="shared" ref="I9:I72" si="0">+CONCATENATE(F9," ",G9," ",H9)</f>
        <v xml:space="preserve">  </v>
      </c>
      <c r="J9" s="203" t="s">
        <v>131</v>
      </c>
      <c r="K9" s="289">
        <f>+IFERROR(VLOOKUP($J9,'11 FORMULAS'!$B$51:$C$53,2,0),"")</f>
        <v>0.25</v>
      </c>
      <c r="L9" s="289" t="str">
        <f>+IFERROR(VLOOKUP($J9,'11 FORMULAS'!$B$51:$D$53,3,0),"")</f>
        <v>Probabilidad</v>
      </c>
      <c r="M9" s="345" t="s">
        <v>132</v>
      </c>
      <c r="N9" s="289">
        <f>+IFERROR(VLOOKUP($M9,'11 FORMULAS'!$B$54:$C$55,2,0),"")</f>
        <v>0.25</v>
      </c>
      <c r="O9" s="347" t="s">
        <v>144</v>
      </c>
      <c r="P9" s="347" t="s">
        <v>237</v>
      </c>
      <c r="Q9" s="347" t="s">
        <v>135</v>
      </c>
      <c r="R9" s="347" t="s">
        <v>245</v>
      </c>
      <c r="S9" s="289">
        <f t="shared" ref="S9:S73" si="1">+IFERROR($K9+$N9,"")</f>
        <v>0.5</v>
      </c>
      <c r="T9" s="289">
        <f>IF($L9='11 FORMULAS'!$D$51,$C$8-($C$8*$S$8),$C$8)</f>
        <v>0.36</v>
      </c>
      <c r="U9" s="289">
        <f>IF(L9='11 FORMULAS'!$D$53,$D$8-($D$8*$S$8),$D$8)</f>
        <v>0.6</v>
      </c>
      <c r="V9" s="533"/>
      <c r="W9" s="533"/>
      <c r="X9" s="38"/>
      <c r="Y9" s="32" t="s">
        <v>281</v>
      </c>
      <c r="Z9" s="28">
        <v>0.61</v>
      </c>
      <c r="AA9" s="27">
        <v>0.8</v>
      </c>
    </row>
    <row r="10" spans="1:27" ht="28.5" hidden="1" customHeight="1" x14ac:dyDescent="0.25">
      <c r="A10" s="526"/>
      <c r="B10" s="517"/>
      <c r="C10" s="491"/>
      <c r="D10" s="491"/>
      <c r="E10" s="344">
        <v>3</v>
      </c>
      <c r="F10" s="203"/>
      <c r="G10" s="203"/>
      <c r="H10" s="203"/>
      <c r="I10" s="280" t="str">
        <f t="shared" si="0"/>
        <v xml:space="preserve">  </v>
      </c>
      <c r="J10" s="203" t="s">
        <v>131</v>
      </c>
      <c r="K10" s="289">
        <f>+IFERROR(VLOOKUP($J10,'11 FORMULAS'!$B$51:$C$53,2,0),"")</f>
        <v>0.25</v>
      </c>
      <c r="L10" s="289" t="str">
        <f>+IFERROR(VLOOKUP($J10,'11 FORMULAS'!$B$51:$D$53,3,0),"")</f>
        <v>Probabilidad</v>
      </c>
      <c r="M10" s="345" t="s">
        <v>132</v>
      </c>
      <c r="N10" s="289">
        <f>+IFERROR(VLOOKUP($M10,'11 FORMULAS'!$B$54:$C$55,2,0),"")</f>
        <v>0.25</v>
      </c>
      <c r="O10" s="347" t="s">
        <v>144</v>
      </c>
      <c r="P10" s="347" t="s">
        <v>237</v>
      </c>
      <c r="Q10" s="347" t="s">
        <v>135</v>
      </c>
      <c r="R10" s="347" t="s">
        <v>245</v>
      </c>
      <c r="S10" s="289">
        <f t="shared" si="1"/>
        <v>0.5</v>
      </c>
      <c r="T10" s="289">
        <f>IF($L10='11 FORMULAS'!$D$51,$C$8-($C$8*$S$8),$C$8)</f>
        <v>0.36</v>
      </c>
      <c r="U10" s="289">
        <f>IF(L10='11 FORMULAS'!$D$53,$D$8-($D$8*$S$8),$D$8)</f>
        <v>0.6</v>
      </c>
      <c r="V10" s="533"/>
      <c r="W10" s="533"/>
      <c r="X10" s="38"/>
      <c r="Y10" s="299" t="s">
        <v>286</v>
      </c>
      <c r="Z10" s="28">
        <v>0.81</v>
      </c>
      <c r="AA10" s="27">
        <v>1</v>
      </c>
    </row>
    <row r="11" spans="1:27" ht="28.5" hidden="1" customHeight="1" x14ac:dyDescent="0.25">
      <c r="A11" s="526"/>
      <c r="B11" s="517"/>
      <c r="C11" s="491"/>
      <c r="D11" s="491"/>
      <c r="E11" s="344">
        <v>4</v>
      </c>
      <c r="F11" s="203"/>
      <c r="G11" s="203"/>
      <c r="H11" s="203"/>
      <c r="I11" s="280" t="str">
        <f t="shared" si="0"/>
        <v xml:space="preserve">  </v>
      </c>
      <c r="J11" s="203" t="s">
        <v>131</v>
      </c>
      <c r="K11" s="289">
        <f>+IFERROR(VLOOKUP($J11,'11 FORMULAS'!$B$51:$C$53,2,0),"")</f>
        <v>0.25</v>
      </c>
      <c r="L11" s="289" t="str">
        <f>+IFERROR(VLOOKUP($J11,'11 FORMULAS'!$B$51:$D$53,3,0),"")</f>
        <v>Probabilidad</v>
      </c>
      <c r="M11" s="345" t="s">
        <v>132</v>
      </c>
      <c r="N11" s="289">
        <f>+IFERROR(VLOOKUP($M11,'11 FORMULAS'!$B$54:$C$55,2,0),"")</f>
        <v>0.25</v>
      </c>
      <c r="O11" s="347" t="s">
        <v>144</v>
      </c>
      <c r="P11" s="347" t="s">
        <v>237</v>
      </c>
      <c r="Q11" s="347" t="s">
        <v>135</v>
      </c>
      <c r="R11" s="347" t="s">
        <v>245</v>
      </c>
      <c r="S11" s="289">
        <f t="shared" si="1"/>
        <v>0.5</v>
      </c>
      <c r="T11" s="289">
        <f>IF($L11='11 FORMULAS'!$D$51,$C$8-($C$8*$S$8),$C$8)</f>
        <v>0.36</v>
      </c>
      <c r="U11" s="289">
        <f>IF(L11='11 FORMULAS'!$D$53,$D$8-($D$8*$S$8),$D$8)</f>
        <v>0.6</v>
      </c>
      <c r="V11" s="533"/>
      <c r="W11" s="533"/>
      <c r="X11" s="38"/>
      <c r="Y11" s="285"/>
      <c r="Z11" s="285"/>
      <c r="AA11" s="285"/>
    </row>
    <row r="12" spans="1:27" ht="28.5" hidden="1" customHeight="1" x14ac:dyDescent="0.25">
      <c r="A12" s="526"/>
      <c r="B12" s="517"/>
      <c r="C12" s="491"/>
      <c r="D12" s="491"/>
      <c r="E12" s="344">
        <v>5</v>
      </c>
      <c r="F12" s="203"/>
      <c r="G12" s="203"/>
      <c r="H12" s="203"/>
      <c r="I12" s="280" t="str">
        <f t="shared" si="0"/>
        <v xml:space="preserve">  </v>
      </c>
      <c r="J12" s="203" t="s">
        <v>131</v>
      </c>
      <c r="K12" s="289">
        <f>+IFERROR(VLOOKUP($J12,'11 FORMULAS'!$B$51:$C$53,2,0),"")</f>
        <v>0.25</v>
      </c>
      <c r="L12" s="289" t="str">
        <f>+IFERROR(VLOOKUP($J12,'11 FORMULAS'!$B$51:$D$53,3,0),"")</f>
        <v>Probabilidad</v>
      </c>
      <c r="M12" s="345" t="s">
        <v>132</v>
      </c>
      <c r="N12" s="289">
        <f>+IFERROR(VLOOKUP($M12,'11 FORMULAS'!$B$54:$C$55,2,0),"")</f>
        <v>0.25</v>
      </c>
      <c r="O12" s="347" t="s">
        <v>144</v>
      </c>
      <c r="P12" s="347" t="s">
        <v>237</v>
      </c>
      <c r="Q12" s="347" t="s">
        <v>135</v>
      </c>
      <c r="R12" s="347" t="s">
        <v>245</v>
      </c>
      <c r="S12" s="289">
        <f t="shared" si="1"/>
        <v>0.5</v>
      </c>
      <c r="T12" s="289">
        <f>IF($L12='11 FORMULAS'!$D$51,$C$8-($C$8*$S$8),$C$8)</f>
        <v>0.36</v>
      </c>
      <c r="U12" s="289">
        <f>IF(L12='11 FORMULAS'!$D$53,$D$8-($D$8*$S$8),$D$8)</f>
        <v>0.6</v>
      </c>
      <c r="V12" s="533"/>
      <c r="W12" s="533"/>
      <c r="X12" s="38"/>
      <c r="Y12" s="285"/>
      <c r="Z12" s="285"/>
      <c r="AA12" s="285"/>
    </row>
    <row r="13" spans="1:27" ht="28.5" hidden="1" customHeight="1" x14ac:dyDescent="0.25">
      <c r="A13" s="526"/>
      <c r="B13" s="517"/>
      <c r="C13" s="491"/>
      <c r="D13" s="491"/>
      <c r="E13" s="344">
        <v>6</v>
      </c>
      <c r="F13" s="203"/>
      <c r="G13" s="203"/>
      <c r="H13" s="203"/>
      <c r="I13" s="280" t="str">
        <f t="shared" si="0"/>
        <v xml:space="preserve">  </v>
      </c>
      <c r="J13" s="203" t="s">
        <v>131</v>
      </c>
      <c r="K13" s="289">
        <f>+IFERROR(VLOOKUP($J13,'11 FORMULAS'!$B$51:$C$53,2,0),"")</f>
        <v>0.25</v>
      </c>
      <c r="L13" s="289" t="str">
        <f>+IFERROR(VLOOKUP($J13,'11 FORMULAS'!$B$51:$D$53,3,0),"")</f>
        <v>Probabilidad</v>
      </c>
      <c r="M13" s="345" t="s">
        <v>132</v>
      </c>
      <c r="N13" s="289">
        <f>+IFERROR(VLOOKUP($M13,'11 FORMULAS'!$B$54:$C$55,2,0),"")</f>
        <v>0.25</v>
      </c>
      <c r="O13" s="347" t="s">
        <v>144</v>
      </c>
      <c r="P13" s="347" t="s">
        <v>237</v>
      </c>
      <c r="Q13" s="347" t="s">
        <v>135</v>
      </c>
      <c r="R13" s="347" t="s">
        <v>245</v>
      </c>
      <c r="S13" s="289">
        <f t="shared" si="1"/>
        <v>0.5</v>
      </c>
      <c r="T13" s="289">
        <f>IF($L13='11 FORMULAS'!$D$51,$C$8-($C$8*$S$8),$C$8)</f>
        <v>0.36</v>
      </c>
      <c r="U13" s="289">
        <f>IF(L13='11 FORMULAS'!$D$53,$D$8-($D$8*$S$8),$D$8)</f>
        <v>0.6</v>
      </c>
      <c r="V13" s="533"/>
      <c r="W13" s="533"/>
      <c r="X13" s="38"/>
      <c r="Y13" s="285"/>
      <c r="Z13" s="285"/>
      <c r="AA13" s="285"/>
    </row>
    <row r="14" spans="1:27" ht="192" customHeight="1" x14ac:dyDescent="0.25">
      <c r="A14" s="526" t="str">
        <f>'2 CONTEXTO E IDENTIFICACIÓN'!A10</f>
        <v>PLES-2</v>
      </c>
      <c r="B14" s="517" t="str">
        <f>+'2 CONTEXTO E IDENTIFICACIÓN'!J10</f>
        <v>Posibilidad de afectación reputacional por la desarticulación a causa de la aprobación del Plan de Acción a causa de   de no integración de las metas establecidas en el Plan Estratégico Institucional y las actividades de los planes del Decreto 612 de 2018</v>
      </c>
      <c r="C14" s="491">
        <f>+'3 PROBABIL E IMPACTO INHERENTE'!E10</f>
        <v>0.6</v>
      </c>
      <c r="D14" s="491">
        <f>+'3 PROBABIL E IMPACTO INHERENTE'!M10</f>
        <v>0.6</v>
      </c>
      <c r="E14" s="344">
        <v>1</v>
      </c>
      <c r="F14" s="203" t="s">
        <v>384</v>
      </c>
      <c r="G14" s="203" t="s">
        <v>387</v>
      </c>
      <c r="H14" s="203" t="s">
        <v>385</v>
      </c>
      <c r="I14" s="280" t="str">
        <f t="shared" si="0"/>
        <v>El Profesional Especializado revisa el Plan de Acción formulado por los líderes de proceso y verifica la alineación de las actividades que correspondan con el Plan Estratégico Institucional y la articulación con los planes del Decreto 612 de 2018, así como la identificación de las actividades de gestión que, por su naturaleza, no presentan alineación, de conformidad con lo establecido en los procedimientosde planeación.  Como evidencia, de manera semestral, se deberá archivar el documento de observaciones producto de la revisión, de acuerdo con el cronograma de formulación o modificación del Plan de Acción.</v>
      </c>
      <c r="J14" s="203" t="s">
        <v>131</v>
      </c>
      <c r="K14" s="289">
        <f>+IFERROR(VLOOKUP($J14,'11 FORMULAS'!$B$51:$C$53,2,0),"")</f>
        <v>0.25</v>
      </c>
      <c r="L14" s="289" t="str">
        <f>+IFERROR(VLOOKUP($J14,'11 FORMULAS'!$B$51:$D$53,3,0),"")</f>
        <v>Probabilidad</v>
      </c>
      <c r="M14" s="345" t="s">
        <v>143</v>
      </c>
      <c r="N14" s="289">
        <f>+IFERROR(VLOOKUP($M14,'11 FORMULAS'!$B$54:$C$55,2,0),"")</f>
        <v>0.15</v>
      </c>
      <c r="O14" s="347" t="s">
        <v>133</v>
      </c>
      <c r="P14" s="347" t="s">
        <v>240</v>
      </c>
      <c r="Q14" s="347" t="s">
        <v>135</v>
      </c>
      <c r="R14" s="347" t="s">
        <v>136</v>
      </c>
      <c r="S14" s="289">
        <f t="shared" si="1"/>
        <v>0.4</v>
      </c>
      <c r="T14" s="289">
        <f>IF($L14='11 FORMULAS'!$D$51,$C$8-($C$8*$S$8),$C$8)</f>
        <v>0.36</v>
      </c>
      <c r="U14" s="289">
        <f>IF(L14='11 FORMULAS'!$D$53,$D$14-($D$14*$S$14),$D$14)</f>
        <v>0.6</v>
      </c>
      <c r="V14" s="533">
        <f>+IF(T19="","",T19)</f>
        <v>0.36</v>
      </c>
      <c r="W14" s="533">
        <f>+IF(U19="","",U19)</f>
        <v>0.6</v>
      </c>
      <c r="X14" s="38"/>
      <c r="Y14" s="285"/>
      <c r="Z14" s="286"/>
      <c r="AA14" s="286"/>
    </row>
    <row r="15" spans="1:27" ht="28.5" hidden="1" customHeight="1" x14ac:dyDescent="0.25">
      <c r="A15" s="526"/>
      <c r="B15" s="517"/>
      <c r="C15" s="491"/>
      <c r="D15" s="491"/>
      <c r="E15" s="344">
        <v>2</v>
      </c>
      <c r="F15" s="203"/>
      <c r="G15" s="203"/>
      <c r="H15" s="203"/>
      <c r="I15" s="280" t="str">
        <f t="shared" si="0"/>
        <v xml:space="preserve">  </v>
      </c>
      <c r="J15" s="203" t="s">
        <v>131</v>
      </c>
      <c r="K15" s="289">
        <f>+IFERROR(VLOOKUP($J15,'11 FORMULAS'!$B$51:$C$53,2,0),"")</f>
        <v>0.25</v>
      </c>
      <c r="L15" s="289" t="str">
        <f>+IFERROR(VLOOKUP($J15,'11 FORMULAS'!$B$51:$D$53,3,0),"")</f>
        <v>Probabilidad</v>
      </c>
      <c r="M15" s="345" t="s">
        <v>132</v>
      </c>
      <c r="N15" s="289">
        <f>+IFERROR(VLOOKUP($M15,'11 FORMULAS'!$B$54:$C$55,2,0),"")</f>
        <v>0.25</v>
      </c>
      <c r="O15" s="347" t="s">
        <v>144</v>
      </c>
      <c r="P15" s="347" t="s">
        <v>237</v>
      </c>
      <c r="Q15" s="347" t="s">
        <v>135</v>
      </c>
      <c r="R15" s="347" t="s">
        <v>245</v>
      </c>
      <c r="S15" s="289">
        <f t="shared" si="1"/>
        <v>0.5</v>
      </c>
      <c r="T15" s="289">
        <f>IF($L15='11 FORMULAS'!$D$51,$C$8-($C$8*$S$8),$C$8)</f>
        <v>0.36</v>
      </c>
      <c r="U15" s="289">
        <f>IF(L15='11 FORMULAS'!$D$53,$D$14-($D$14*$S$14),$D$14)</f>
        <v>0.6</v>
      </c>
      <c r="V15" s="533"/>
      <c r="W15" s="533"/>
      <c r="X15" s="38"/>
      <c r="Y15" s="285"/>
      <c r="Z15" s="286"/>
      <c r="AA15" s="286"/>
    </row>
    <row r="16" spans="1:27" ht="28.5" hidden="1" customHeight="1" x14ac:dyDescent="0.25">
      <c r="A16" s="526"/>
      <c r="B16" s="517"/>
      <c r="C16" s="491"/>
      <c r="D16" s="491"/>
      <c r="E16" s="344">
        <v>3</v>
      </c>
      <c r="F16" s="203"/>
      <c r="G16" s="203"/>
      <c r="H16" s="203"/>
      <c r="I16" s="280" t="str">
        <f t="shared" si="0"/>
        <v xml:space="preserve">  </v>
      </c>
      <c r="J16" s="203" t="s">
        <v>131</v>
      </c>
      <c r="K16" s="289">
        <f>+IFERROR(VLOOKUP($J16,'11 FORMULAS'!$B$51:$C$53,2,0),"")</f>
        <v>0.25</v>
      </c>
      <c r="L16" s="289" t="str">
        <f>+IFERROR(VLOOKUP($J16,'11 FORMULAS'!$B$51:$D$53,3,0),"")</f>
        <v>Probabilidad</v>
      </c>
      <c r="M16" s="345" t="s">
        <v>132</v>
      </c>
      <c r="N16" s="289">
        <f>+IFERROR(VLOOKUP($M16,'11 FORMULAS'!$B$54:$C$55,2,0),"")</f>
        <v>0.25</v>
      </c>
      <c r="O16" s="347" t="s">
        <v>144</v>
      </c>
      <c r="P16" s="347" t="s">
        <v>237</v>
      </c>
      <c r="Q16" s="347" t="s">
        <v>135</v>
      </c>
      <c r="R16" s="347" t="s">
        <v>245</v>
      </c>
      <c r="S16" s="289">
        <f t="shared" si="1"/>
        <v>0.5</v>
      </c>
      <c r="T16" s="289">
        <f>IF($L16='11 FORMULAS'!$D$51,$C$8-($C$8*$S$8),$C$8)</f>
        <v>0.36</v>
      </c>
      <c r="U16" s="289">
        <f>IF(L16='11 FORMULAS'!$D$53,$D$14-($D$14*$S$14),$D$14)</f>
        <v>0.6</v>
      </c>
      <c r="V16" s="533"/>
      <c r="W16" s="533"/>
      <c r="X16" s="38"/>
      <c r="Y16" s="285"/>
      <c r="Z16" s="286"/>
      <c r="AA16" s="286"/>
    </row>
    <row r="17" spans="1:27" ht="28.5" hidden="1" customHeight="1" x14ac:dyDescent="0.25">
      <c r="A17" s="526"/>
      <c r="B17" s="517"/>
      <c r="C17" s="491"/>
      <c r="D17" s="491"/>
      <c r="E17" s="344">
        <v>4</v>
      </c>
      <c r="F17" s="203"/>
      <c r="G17" s="203"/>
      <c r="H17" s="203"/>
      <c r="I17" s="280" t="str">
        <f t="shared" si="0"/>
        <v xml:space="preserve">  </v>
      </c>
      <c r="J17" s="203" t="s">
        <v>131</v>
      </c>
      <c r="K17" s="289">
        <f>+IFERROR(VLOOKUP($J17,'11 FORMULAS'!$B$51:$C$53,2,0),"")</f>
        <v>0.25</v>
      </c>
      <c r="L17" s="289" t="str">
        <f>+IFERROR(VLOOKUP($J17,'11 FORMULAS'!$B$51:$D$53,3,0),"")</f>
        <v>Probabilidad</v>
      </c>
      <c r="M17" s="345" t="s">
        <v>132</v>
      </c>
      <c r="N17" s="289">
        <f>+IFERROR(VLOOKUP($M17,'11 FORMULAS'!$B$54:$C$55,2,0),"")</f>
        <v>0.25</v>
      </c>
      <c r="O17" s="347" t="s">
        <v>144</v>
      </c>
      <c r="P17" s="347" t="s">
        <v>237</v>
      </c>
      <c r="Q17" s="347" t="s">
        <v>135</v>
      </c>
      <c r="R17" s="347" t="s">
        <v>245</v>
      </c>
      <c r="S17" s="289">
        <f t="shared" si="1"/>
        <v>0.5</v>
      </c>
      <c r="T17" s="289">
        <f>IF($L17='11 FORMULAS'!$D$51,$C$8-($C$8*$S$8),$C$8)</f>
        <v>0.36</v>
      </c>
      <c r="U17" s="289">
        <f>IF(L17='11 FORMULAS'!$D$53,$D$14-($D$14*$S$14),$D$14)</f>
        <v>0.6</v>
      </c>
      <c r="V17" s="533"/>
      <c r="W17" s="533"/>
      <c r="X17" s="38"/>
      <c r="Y17" s="285"/>
      <c r="Z17" s="286"/>
      <c r="AA17" s="286"/>
    </row>
    <row r="18" spans="1:27" ht="28.5" hidden="1" customHeight="1" x14ac:dyDescent="0.25">
      <c r="A18" s="526"/>
      <c r="B18" s="517"/>
      <c r="C18" s="491"/>
      <c r="D18" s="491"/>
      <c r="E18" s="344">
        <v>5</v>
      </c>
      <c r="F18" s="203"/>
      <c r="G18" s="203"/>
      <c r="H18" s="203"/>
      <c r="I18" s="280" t="str">
        <f t="shared" si="0"/>
        <v xml:space="preserve">  </v>
      </c>
      <c r="J18" s="203" t="s">
        <v>131</v>
      </c>
      <c r="K18" s="289">
        <f>+IFERROR(VLOOKUP($J18,'11 FORMULAS'!$B$51:$C$53,2,0),"")</f>
        <v>0.25</v>
      </c>
      <c r="L18" s="289" t="str">
        <f>+IFERROR(VLOOKUP($J18,'11 FORMULAS'!$B$51:$D$53,3,0),"")</f>
        <v>Probabilidad</v>
      </c>
      <c r="M18" s="345" t="s">
        <v>132</v>
      </c>
      <c r="N18" s="289">
        <f>+IFERROR(VLOOKUP($M18,'11 FORMULAS'!$B$54:$C$55,2,0),"")</f>
        <v>0.25</v>
      </c>
      <c r="O18" s="347" t="s">
        <v>144</v>
      </c>
      <c r="P18" s="347" t="s">
        <v>237</v>
      </c>
      <c r="Q18" s="347" t="s">
        <v>135</v>
      </c>
      <c r="R18" s="347" t="s">
        <v>245</v>
      </c>
      <c r="S18" s="289">
        <f t="shared" si="1"/>
        <v>0.5</v>
      </c>
      <c r="T18" s="289">
        <f>IF($L18='11 FORMULAS'!$D$51,$C$8-($C$8*$S$8),$C$8)</f>
        <v>0.36</v>
      </c>
      <c r="U18" s="289">
        <f>IF(L18='11 FORMULAS'!$D$53,$D$14-($D$14*$S$14),$D$14)</f>
        <v>0.6</v>
      </c>
      <c r="V18" s="533"/>
      <c r="W18" s="533"/>
      <c r="X18" s="38"/>
      <c r="Y18" s="285"/>
      <c r="Z18" s="286"/>
      <c r="AA18" s="286"/>
    </row>
    <row r="19" spans="1:27" ht="28.5" hidden="1" customHeight="1" x14ac:dyDescent="0.25">
      <c r="A19" s="526"/>
      <c r="B19" s="517"/>
      <c r="C19" s="491"/>
      <c r="D19" s="491"/>
      <c r="E19" s="344">
        <v>6</v>
      </c>
      <c r="F19" s="203"/>
      <c r="G19" s="203"/>
      <c r="H19" s="203"/>
      <c r="I19" s="280" t="str">
        <f t="shared" si="0"/>
        <v xml:space="preserve">  </v>
      </c>
      <c r="J19" s="203" t="s">
        <v>131</v>
      </c>
      <c r="K19" s="289">
        <f>+IFERROR(VLOOKUP($J19,'11 FORMULAS'!$B$51:$C$53,2,0),"")</f>
        <v>0.25</v>
      </c>
      <c r="L19" s="289" t="str">
        <f>+IFERROR(VLOOKUP($J19,'11 FORMULAS'!$B$51:$D$53,3,0),"")</f>
        <v>Probabilidad</v>
      </c>
      <c r="M19" s="345" t="s">
        <v>132</v>
      </c>
      <c r="N19" s="289">
        <f>+IFERROR(VLOOKUP($M19,'11 FORMULAS'!$B$54:$C$55,2,0),"")</f>
        <v>0.25</v>
      </c>
      <c r="O19" s="347" t="s">
        <v>144</v>
      </c>
      <c r="P19" s="347" t="s">
        <v>237</v>
      </c>
      <c r="Q19" s="347" t="s">
        <v>135</v>
      </c>
      <c r="R19" s="347" t="s">
        <v>245</v>
      </c>
      <c r="S19" s="289">
        <f t="shared" si="1"/>
        <v>0.5</v>
      </c>
      <c r="T19" s="289">
        <f>IF($L19='11 FORMULAS'!$D$51,$C$8-($C$8*$S$8),$C$8)</f>
        <v>0.36</v>
      </c>
      <c r="U19" s="289">
        <f>IF(L19='11 FORMULAS'!$D$53,$D$14-($D$14*$S$14),$D$14)</f>
        <v>0.6</v>
      </c>
      <c r="V19" s="533"/>
      <c r="W19" s="533"/>
      <c r="X19" s="38"/>
    </row>
    <row r="20" spans="1:27" ht="270.75" x14ac:dyDescent="0.25">
      <c r="A20" s="362" t="str">
        <f>'2 CONTEXTO E IDENTIFICACIÓN'!A11</f>
        <v>PLES-5</v>
      </c>
      <c r="B20" s="361" t="str">
        <f>+'2 CONTEXTO E IDENTIFICACIÓN'!J11</f>
        <v>Posibilidad de afectación económica y reputacional porel rezago en la ejecución de los proyectos de inversión  a causa de  el desconocimiento de dichos requisitos por parte del talento humano responsable en la entidad</v>
      </c>
      <c r="C20" s="359">
        <f>+'3 PROBABIL E IMPACTO INHERENTE'!E11</f>
        <v>0.6</v>
      </c>
      <c r="D20" s="359">
        <f>+'3 PROBABIL E IMPACTO INHERENTE'!M11</f>
        <v>0.6</v>
      </c>
      <c r="E20" s="344">
        <v>1</v>
      </c>
      <c r="F20" s="203" t="s">
        <v>384</v>
      </c>
      <c r="G20" s="203" t="s">
        <v>388</v>
      </c>
      <c r="H20" s="203" t="s">
        <v>381</v>
      </c>
      <c r="I20" s="280" t="str">
        <f t="shared" ref="I20" si="2">+CONCATENATE(F20," ",G20," ",H20)</f>
        <v>El Profesional Especializado realiza el seguimiento a la ejecución física y financiera de los proyectos de inversión, mediante la extracción, consolidación y análisis de la información reportada por las dependencias responsables, contrastando los avances registrados frente a la programación presupuestal y las metas físicas establecidas. Como resultado del seguimiento, identifica situaciones que puedan afectar el cumplimiento de las metas y, cuando corresponde, genera los respectivos alertamientos y recomendaciones, los cuales son comunicados a las dependencias responsables mediante las fichas de seguimiento y correo electrónico, para su conocimiento y gestión.  Como evidencia, de manera mensual, deberá archivar las fichas de seguimiento elaboradas y los correos electrónicos mediante los cuales se comunican los resultados, alertamientos y recomendaciones.</v>
      </c>
      <c r="J20" s="203" t="s">
        <v>131</v>
      </c>
      <c r="K20" s="289">
        <f>+IFERROR(VLOOKUP($J20,'[3]11 FORMULAS'!$B$51:$C$53,2,0),"")</f>
        <v>0.25</v>
      </c>
      <c r="L20" s="289" t="str">
        <f>+IFERROR(VLOOKUP($J20,'[3]11 FORMULAS'!$B$51:$D$53,3,0),"")</f>
        <v>Probabilidad</v>
      </c>
      <c r="M20" s="345" t="s">
        <v>143</v>
      </c>
      <c r="N20" s="289">
        <f>+IFERROR(VLOOKUP($M20,'[3]11 FORMULAS'!$B$54:$C$55,2,0),"")</f>
        <v>0.15</v>
      </c>
      <c r="O20" s="347" t="s">
        <v>133</v>
      </c>
      <c r="P20" s="347" t="s">
        <v>237</v>
      </c>
      <c r="Q20" s="347" t="s">
        <v>146</v>
      </c>
      <c r="R20" s="347" t="s">
        <v>136</v>
      </c>
      <c r="S20" s="289">
        <f t="shared" si="1"/>
        <v>0.4</v>
      </c>
      <c r="T20" s="289">
        <f>IF($L20='[3]11 FORMULAS'!$D$51,$C$8-($C$8*$S$8),$C$8)</f>
        <v>0.36</v>
      </c>
      <c r="U20" s="289">
        <f>IF(L20='[3]11 FORMULAS'!$D$53,$D$21-($D$21*$S$21),$D$21)</f>
        <v>0.6</v>
      </c>
      <c r="V20" s="363">
        <f>+IF(T20="","",T20)</f>
        <v>0.36</v>
      </c>
      <c r="W20" s="363">
        <f>+IF(U20="","",U20)</f>
        <v>0.6</v>
      </c>
      <c r="X20" s="38"/>
      <c r="Y20" s="285"/>
      <c r="Z20" s="286"/>
      <c r="AA20" s="286"/>
    </row>
    <row r="21" spans="1:27" ht="85.5" x14ac:dyDescent="0.25">
      <c r="A21" s="526" t="str">
        <f>'2 CONTEXTO E IDENTIFICACIÓN'!A12</f>
        <v>PLES-4</v>
      </c>
      <c r="B21" s="517" t="str">
        <f>+'2 CONTEXTO E IDENTIFICACIÓN'!J12</f>
        <v>Posibilidad de afectación reputacional por falta de coordinación y liderazgo interno relacionado con el tema de innovación
 a causa de   la inexistencia de una politica actualizada que se ajuste  a las necesidades  de la entidad y el sector</v>
      </c>
      <c r="C21" s="491">
        <f>+'3 PROBABIL E IMPACTO INHERENTE'!E11</f>
        <v>0.6</v>
      </c>
      <c r="D21" s="491">
        <f>+'3 PROBABIL E IMPACTO INHERENTE'!M11</f>
        <v>0.6</v>
      </c>
      <c r="E21" s="344">
        <v>1</v>
      </c>
      <c r="F21" s="203" t="s">
        <v>372</v>
      </c>
      <c r="G21" s="203" t="s">
        <v>373</v>
      </c>
      <c r="H21" s="203" t="s">
        <v>374</v>
      </c>
      <c r="I21" s="280" t="str">
        <f t="shared" si="0"/>
        <v>La jefa de la Oficina Asesora de Planeación y Sistemas Verifica la ejecución de los ejes de acción establecidos en la política de gestión del conocimiento y la innovación de manera trimestral.En caso de desviaciones se emitirán las alertas respectivas al comité de gestión y desempeño. Como evidencia se dejará la matriz de cumplimiento del plan de trabajo</v>
      </c>
      <c r="J21" s="203" t="s">
        <v>142</v>
      </c>
      <c r="K21" s="289">
        <f>+IFERROR(VLOOKUP($J21,'11 FORMULAS'!$B$51:$C$53,2,0),"")</f>
        <v>0.15</v>
      </c>
      <c r="L21" s="289" t="str">
        <f>+IFERROR(VLOOKUP($J21,'11 FORMULAS'!$B$51:$D$53,3,0),"")</f>
        <v>Probabilidad</v>
      </c>
      <c r="M21" s="345" t="s">
        <v>143</v>
      </c>
      <c r="N21" s="289">
        <f>+IFERROR(VLOOKUP($M21,'11 FORMULAS'!$B$54:$C$55,2,0),"")</f>
        <v>0.15</v>
      </c>
      <c r="O21" s="347" t="s">
        <v>133</v>
      </c>
      <c r="P21" s="347" t="s">
        <v>239</v>
      </c>
      <c r="Q21" s="347" t="s">
        <v>146</v>
      </c>
      <c r="R21" s="347" t="s">
        <v>136</v>
      </c>
      <c r="S21" s="289">
        <f t="shared" si="1"/>
        <v>0.3</v>
      </c>
      <c r="T21" s="289">
        <f>IF($L21='11 FORMULAS'!$D$51,$C$8-($C$8*$S$8),$C$8)</f>
        <v>0.36</v>
      </c>
      <c r="U21" s="289">
        <f>IF(L21='11 FORMULAS'!$D$53,$D$21-($D$21*$S$21),$D$21)</f>
        <v>0.6</v>
      </c>
      <c r="V21" s="533">
        <f>+IF(T26="","",T26)</f>
        <v>0.36</v>
      </c>
      <c r="W21" s="533">
        <f>+IF(U26="","",U26)</f>
        <v>0.6</v>
      </c>
      <c r="X21" s="38"/>
      <c r="Y21" s="285"/>
      <c r="Z21" s="286"/>
      <c r="AA21" s="286"/>
    </row>
    <row r="22" spans="1:27" ht="28.5" hidden="1" customHeight="1" x14ac:dyDescent="0.25">
      <c r="A22" s="526"/>
      <c r="B22" s="517"/>
      <c r="C22" s="491"/>
      <c r="D22" s="491"/>
      <c r="E22" s="344">
        <v>2</v>
      </c>
      <c r="F22" s="203"/>
      <c r="G22" s="203"/>
      <c r="H22" s="203"/>
      <c r="I22" s="280" t="str">
        <f t="shared" si="0"/>
        <v xml:space="preserve">  </v>
      </c>
      <c r="J22" s="203" t="s">
        <v>131</v>
      </c>
      <c r="K22" s="289">
        <f>+IFERROR(VLOOKUP($J22,'11 FORMULAS'!$B$51:$C$53,2,0),"")</f>
        <v>0.25</v>
      </c>
      <c r="L22" s="289" t="str">
        <f>+IFERROR(VLOOKUP($J22,'11 FORMULAS'!$B$51:$D$53,3,0),"")</f>
        <v>Probabilidad</v>
      </c>
      <c r="M22" s="345" t="s">
        <v>132</v>
      </c>
      <c r="N22" s="289">
        <f>+IFERROR(VLOOKUP($M22,'11 FORMULAS'!$B$54:$C$55,2,0),"")</f>
        <v>0.25</v>
      </c>
      <c r="O22" s="347" t="s">
        <v>144</v>
      </c>
      <c r="P22" s="347" t="s">
        <v>237</v>
      </c>
      <c r="Q22" s="347" t="s">
        <v>135</v>
      </c>
      <c r="R22" s="347" t="s">
        <v>245</v>
      </c>
      <c r="S22" s="289">
        <f t="shared" si="1"/>
        <v>0.5</v>
      </c>
      <c r="T22" s="289">
        <f>IF($L22='11 FORMULAS'!$D$51,$C$8-($C$8*$S$8),$C$8)</f>
        <v>0.36</v>
      </c>
      <c r="U22" s="289">
        <f>IF(L22='11 FORMULAS'!$D$53,$D$21-($D$21*$S$21),$D$21)</f>
        <v>0.6</v>
      </c>
      <c r="V22" s="533"/>
      <c r="W22" s="533"/>
      <c r="X22" s="38"/>
      <c r="Y22" s="285"/>
      <c r="Z22" s="286"/>
      <c r="AA22" s="286"/>
    </row>
    <row r="23" spans="1:27" ht="28.5" hidden="1" customHeight="1" x14ac:dyDescent="0.25">
      <c r="A23" s="526"/>
      <c r="B23" s="517"/>
      <c r="C23" s="491"/>
      <c r="D23" s="491"/>
      <c r="E23" s="344">
        <v>3</v>
      </c>
      <c r="F23" s="203"/>
      <c r="G23" s="203"/>
      <c r="H23" s="203"/>
      <c r="I23" s="280" t="str">
        <f t="shared" si="0"/>
        <v xml:space="preserve">  </v>
      </c>
      <c r="J23" s="203" t="s">
        <v>131</v>
      </c>
      <c r="K23" s="289">
        <f>+IFERROR(VLOOKUP($J23,'11 FORMULAS'!$B$51:$C$53,2,0),"")</f>
        <v>0.25</v>
      </c>
      <c r="L23" s="289" t="str">
        <f>+IFERROR(VLOOKUP($J23,'11 FORMULAS'!$B$51:$D$53,3,0),"")</f>
        <v>Probabilidad</v>
      </c>
      <c r="M23" s="345" t="s">
        <v>132</v>
      </c>
      <c r="N23" s="289">
        <f>+IFERROR(VLOOKUP($M23,'11 FORMULAS'!$B$54:$C$55,2,0),"")</f>
        <v>0.25</v>
      </c>
      <c r="O23" s="347" t="s">
        <v>144</v>
      </c>
      <c r="P23" s="347" t="s">
        <v>237</v>
      </c>
      <c r="Q23" s="347" t="s">
        <v>135</v>
      </c>
      <c r="R23" s="347" t="s">
        <v>245</v>
      </c>
      <c r="S23" s="289">
        <f t="shared" si="1"/>
        <v>0.5</v>
      </c>
      <c r="T23" s="289">
        <f>IF($L23='11 FORMULAS'!$D$51,$C$8-($C$8*$S$8),$C$8)</f>
        <v>0.36</v>
      </c>
      <c r="U23" s="289">
        <f>IF(L23='11 FORMULAS'!$D$53,$D$21-($D$21*$S$21),$D$21)</f>
        <v>0.6</v>
      </c>
      <c r="V23" s="533"/>
      <c r="W23" s="533"/>
      <c r="X23" s="38"/>
      <c r="Y23" s="285"/>
      <c r="Z23" s="286"/>
      <c r="AA23" s="286"/>
    </row>
    <row r="24" spans="1:27" ht="28.5" hidden="1" customHeight="1" x14ac:dyDescent="0.25">
      <c r="A24" s="526"/>
      <c r="B24" s="517"/>
      <c r="C24" s="491"/>
      <c r="D24" s="491"/>
      <c r="E24" s="344">
        <v>4</v>
      </c>
      <c r="F24" s="203"/>
      <c r="G24" s="203"/>
      <c r="H24" s="203"/>
      <c r="I24" s="280" t="str">
        <f t="shared" si="0"/>
        <v xml:space="preserve">  </v>
      </c>
      <c r="J24" s="203" t="s">
        <v>131</v>
      </c>
      <c r="K24" s="289">
        <f>+IFERROR(VLOOKUP($J24,'11 FORMULAS'!$B$51:$C$53,2,0),"")</f>
        <v>0.25</v>
      </c>
      <c r="L24" s="289" t="str">
        <f>+IFERROR(VLOOKUP($J24,'11 FORMULAS'!$B$51:$D$53,3,0),"")</f>
        <v>Probabilidad</v>
      </c>
      <c r="M24" s="345" t="s">
        <v>132</v>
      </c>
      <c r="N24" s="289">
        <f>+IFERROR(VLOOKUP($M24,'11 FORMULAS'!$B$54:$C$55,2,0),"")</f>
        <v>0.25</v>
      </c>
      <c r="O24" s="347" t="s">
        <v>144</v>
      </c>
      <c r="P24" s="347" t="s">
        <v>237</v>
      </c>
      <c r="Q24" s="347" t="s">
        <v>135</v>
      </c>
      <c r="R24" s="347" t="s">
        <v>245</v>
      </c>
      <c r="S24" s="289">
        <f t="shared" si="1"/>
        <v>0.5</v>
      </c>
      <c r="T24" s="289">
        <f>IF($L24='11 FORMULAS'!$D$51,$C$8-($C$8*$S$8),$C$8)</f>
        <v>0.36</v>
      </c>
      <c r="U24" s="289">
        <f>IF(L24='11 FORMULAS'!$D$53,$D$21-($D$21*$S$21),$D$21)</f>
        <v>0.6</v>
      </c>
      <c r="V24" s="533"/>
      <c r="W24" s="533"/>
      <c r="X24" s="38"/>
      <c r="Y24" s="285"/>
      <c r="Z24" s="286"/>
      <c r="AA24" s="286"/>
    </row>
    <row r="25" spans="1:27" ht="28.5" hidden="1" customHeight="1" x14ac:dyDescent="0.25">
      <c r="A25" s="526"/>
      <c r="B25" s="517"/>
      <c r="C25" s="491"/>
      <c r="D25" s="491"/>
      <c r="E25" s="344">
        <v>5</v>
      </c>
      <c r="F25" s="203"/>
      <c r="G25" s="203"/>
      <c r="H25" s="203"/>
      <c r="I25" s="280" t="str">
        <f t="shared" si="0"/>
        <v xml:space="preserve">  </v>
      </c>
      <c r="J25" s="203" t="s">
        <v>131</v>
      </c>
      <c r="K25" s="289">
        <f>+IFERROR(VLOOKUP($J25,'11 FORMULAS'!$B$51:$C$53,2,0),"")</f>
        <v>0.25</v>
      </c>
      <c r="L25" s="289" t="str">
        <f>+IFERROR(VLOOKUP($J25,'11 FORMULAS'!$B$51:$D$53,3,0),"")</f>
        <v>Probabilidad</v>
      </c>
      <c r="M25" s="345" t="s">
        <v>132</v>
      </c>
      <c r="N25" s="289">
        <f>+IFERROR(VLOOKUP($M25,'11 FORMULAS'!$B$54:$C$55,2,0),"")</f>
        <v>0.25</v>
      </c>
      <c r="O25" s="347" t="s">
        <v>144</v>
      </c>
      <c r="P25" s="347" t="s">
        <v>237</v>
      </c>
      <c r="Q25" s="347" t="s">
        <v>135</v>
      </c>
      <c r="R25" s="347" t="s">
        <v>245</v>
      </c>
      <c r="S25" s="289">
        <f t="shared" si="1"/>
        <v>0.5</v>
      </c>
      <c r="T25" s="289">
        <f>IF($L25='11 FORMULAS'!$D$51,$C$8-($C$8*$S$8),$C$8)</f>
        <v>0.36</v>
      </c>
      <c r="U25" s="289">
        <f>IF(L25='11 FORMULAS'!$D$53,$D$21-($D$21*$S$21),$D$21)</f>
        <v>0.6</v>
      </c>
      <c r="V25" s="533"/>
      <c r="W25" s="533"/>
      <c r="X25" s="38"/>
      <c r="Y25" s="285"/>
      <c r="Z25" s="286"/>
      <c r="AA25" s="286"/>
    </row>
    <row r="26" spans="1:27" ht="28.5" hidden="1" customHeight="1" x14ac:dyDescent="0.25">
      <c r="A26" s="526"/>
      <c r="B26" s="517"/>
      <c r="C26" s="491"/>
      <c r="D26" s="491"/>
      <c r="E26" s="344">
        <v>6</v>
      </c>
      <c r="F26" s="203"/>
      <c r="G26" s="203"/>
      <c r="H26" s="203"/>
      <c r="I26" s="280" t="str">
        <f t="shared" si="0"/>
        <v xml:space="preserve">  </v>
      </c>
      <c r="J26" s="203" t="s">
        <v>131</v>
      </c>
      <c r="K26" s="289">
        <f>+IFERROR(VLOOKUP($J26,'11 FORMULAS'!$B$51:$C$53,2,0),"")</f>
        <v>0.25</v>
      </c>
      <c r="L26" s="289" t="str">
        <f>+IFERROR(VLOOKUP($J26,'11 FORMULAS'!$B$51:$D$53,3,0),"")</f>
        <v>Probabilidad</v>
      </c>
      <c r="M26" s="345" t="s">
        <v>132</v>
      </c>
      <c r="N26" s="289">
        <f>+IFERROR(VLOOKUP($M26,'11 FORMULAS'!$B$54:$C$55,2,0),"")</f>
        <v>0.25</v>
      </c>
      <c r="O26" s="347" t="s">
        <v>144</v>
      </c>
      <c r="P26" s="347" t="s">
        <v>237</v>
      </c>
      <c r="Q26" s="347" t="s">
        <v>135</v>
      </c>
      <c r="R26" s="347" t="s">
        <v>245</v>
      </c>
      <c r="S26" s="289">
        <f t="shared" si="1"/>
        <v>0.5</v>
      </c>
      <c r="T26" s="289">
        <f>IF($L26='11 FORMULAS'!$D$51,$C$8-($C$8*$S$8),$C$8)</f>
        <v>0.36</v>
      </c>
      <c r="U26" s="289">
        <f>IF(L26='11 FORMULAS'!$D$53,$D$21-($D$21*$S$21),$D$21)</f>
        <v>0.6</v>
      </c>
      <c r="V26" s="533"/>
      <c r="W26" s="533"/>
      <c r="X26" s="38"/>
    </row>
    <row r="27" spans="1:27" ht="15.75" thickBot="1" x14ac:dyDescent="0.3">
      <c r="A27" s="527"/>
      <c r="B27" s="529"/>
      <c r="C27" s="531"/>
      <c r="D27" s="531"/>
      <c r="E27" s="349"/>
      <c r="F27" s="316"/>
      <c r="G27" s="314"/>
      <c r="H27" s="314"/>
      <c r="I27" s="354"/>
      <c r="J27" s="314"/>
      <c r="K27" s="355"/>
      <c r="L27" s="355"/>
      <c r="M27" s="356"/>
      <c r="N27" s="355"/>
      <c r="O27" s="357"/>
      <c r="P27" s="357"/>
      <c r="Q27" s="357"/>
      <c r="R27" s="357"/>
      <c r="S27" s="355"/>
      <c r="T27" s="355"/>
      <c r="U27" s="355"/>
      <c r="V27" s="543"/>
      <c r="W27" s="541"/>
      <c r="X27" s="38"/>
      <c r="Y27" s="285"/>
      <c r="Z27" s="286"/>
      <c r="AA27" s="286"/>
    </row>
    <row r="28" spans="1:27" ht="15.75" hidden="1" customHeight="1" thickBot="1" x14ac:dyDescent="0.3">
      <c r="A28" s="527"/>
      <c r="B28" s="529"/>
      <c r="C28" s="531"/>
      <c r="D28" s="531"/>
      <c r="E28" s="344"/>
      <c r="F28" s="317"/>
      <c r="G28" s="203"/>
      <c r="H28" s="203"/>
      <c r="I28" s="280"/>
      <c r="J28" s="203"/>
      <c r="K28" s="289"/>
      <c r="L28" s="289"/>
      <c r="M28" s="345"/>
      <c r="N28" s="346"/>
      <c r="O28" s="347"/>
      <c r="P28" s="347"/>
      <c r="Q28" s="347"/>
      <c r="R28" s="347"/>
      <c r="S28" s="289"/>
      <c r="T28" s="289"/>
      <c r="U28" s="289"/>
      <c r="V28" s="543"/>
      <c r="W28" s="541"/>
      <c r="X28" s="38"/>
      <c r="Y28" s="285"/>
      <c r="Z28" s="286"/>
      <c r="AA28" s="286"/>
    </row>
    <row r="29" spans="1:27" ht="15.75" hidden="1" customHeight="1" thickBot="1" x14ac:dyDescent="0.3">
      <c r="A29" s="527"/>
      <c r="B29" s="529"/>
      <c r="C29" s="531"/>
      <c r="D29" s="531"/>
      <c r="E29" s="344"/>
      <c r="F29" s="317"/>
      <c r="G29" s="203"/>
      <c r="H29" s="203"/>
      <c r="I29" s="280"/>
      <c r="J29" s="203"/>
      <c r="K29" s="289"/>
      <c r="L29" s="289"/>
      <c r="M29" s="345"/>
      <c r="N29" s="346"/>
      <c r="O29" s="347"/>
      <c r="P29" s="347"/>
      <c r="Q29" s="347"/>
      <c r="R29" s="347"/>
      <c r="S29" s="289"/>
      <c r="T29" s="289"/>
      <c r="U29" s="289"/>
      <c r="V29" s="543"/>
      <c r="W29" s="541"/>
      <c r="X29" s="38"/>
      <c r="Y29" s="285"/>
      <c r="Z29" s="286"/>
      <c r="AA29" s="286"/>
    </row>
    <row r="30" spans="1:27" ht="15.75" hidden="1" customHeight="1" thickBot="1" x14ac:dyDescent="0.3">
      <c r="A30" s="527"/>
      <c r="B30" s="529"/>
      <c r="C30" s="531"/>
      <c r="D30" s="531"/>
      <c r="E30" s="344"/>
      <c r="F30" s="317"/>
      <c r="G30" s="203"/>
      <c r="H30" s="203"/>
      <c r="I30" s="280"/>
      <c r="J30" s="203"/>
      <c r="K30" s="289"/>
      <c r="L30" s="289"/>
      <c r="M30" s="345"/>
      <c r="N30" s="346"/>
      <c r="O30" s="347"/>
      <c r="P30" s="347"/>
      <c r="Q30" s="347"/>
      <c r="R30" s="347"/>
      <c r="S30" s="289"/>
      <c r="T30" s="289"/>
      <c r="U30" s="289"/>
      <c r="V30" s="543"/>
      <c r="W30" s="541"/>
      <c r="X30" s="38"/>
      <c r="Y30" s="285"/>
      <c r="Z30" s="286"/>
      <c r="AA30" s="286"/>
    </row>
    <row r="31" spans="1:27" ht="15.75" hidden="1" customHeight="1" thickBot="1" x14ac:dyDescent="0.3">
      <c r="A31" s="527"/>
      <c r="B31" s="529"/>
      <c r="C31" s="531"/>
      <c r="D31" s="531"/>
      <c r="E31" s="344"/>
      <c r="F31" s="317"/>
      <c r="G31" s="203"/>
      <c r="H31" s="203"/>
      <c r="I31" s="280"/>
      <c r="J31" s="203"/>
      <c r="K31" s="289"/>
      <c r="L31" s="289"/>
      <c r="M31" s="345"/>
      <c r="N31" s="346"/>
      <c r="O31" s="347"/>
      <c r="P31" s="347"/>
      <c r="Q31" s="347"/>
      <c r="R31" s="347"/>
      <c r="S31" s="289"/>
      <c r="T31" s="289"/>
      <c r="U31" s="289"/>
      <c r="V31" s="543"/>
      <c r="W31" s="541"/>
      <c r="X31" s="38"/>
      <c r="Y31" s="285"/>
      <c r="Z31" s="286"/>
      <c r="AA31" s="286"/>
    </row>
    <row r="32" spans="1:27" ht="15" hidden="1" customHeight="1" thickBot="1" x14ac:dyDescent="0.3">
      <c r="A32" s="528"/>
      <c r="B32" s="530"/>
      <c r="C32" s="532"/>
      <c r="D32" s="532"/>
      <c r="E32" s="348"/>
      <c r="F32" s="319"/>
      <c r="G32" s="204"/>
      <c r="H32" s="204"/>
      <c r="I32" s="280"/>
      <c r="J32" s="203"/>
      <c r="K32" s="289"/>
      <c r="L32" s="289"/>
      <c r="M32" s="345"/>
      <c r="N32" s="346"/>
      <c r="O32" s="347"/>
      <c r="P32" s="347"/>
      <c r="Q32" s="347"/>
      <c r="R32" s="347"/>
      <c r="S32" s="289"/>
      <c r="T32" s="289"/>
      <c r="U32" s="289"/>
      <c r="V32" s="544"/>
      <c r="W32" s="542"/>
      <c r="X32" s="38"/>
    </row>
    <row r="33" spans="1:27" ht="15" x14ac:dyDescent="0.25">
      <c r="A33" s="511"/>
      <c r="B33" s="515"/>
      <c r="C33" s="519"/>
      <c r="D33" s="522"/>
      <c r="E33" s="349"/>
      <c r="F33" s="49"/>
      <c r="G33" s="49"/>
      <c r="H33" s="49"/>
      <c r="I33" s="280"/>
      <c r="J33" s="203"/>
      <c r="K33" s="289"/>
      <c r="L33" s="289"/>
      <c r="M33" s="345"/>
      <c r="N33" s="346"/>
      <c r="O33" s="347"/>
      <c r="P33" s="347"/>
      <c r="Q33" s="347"/>
      <c r="R33" s="347"/>
      <c r="S33" s="289"/>
      <c r="T33" s="289"/>
      <c r="U33" s="289"/>
      <c r="V33" s="534"/>
      <c r="W33" s="536"/>
      <c r="X33" s="38"/>
      <c r="Y33" s="285"/>
      <c r="Z33" s="286"/>
      <c r="AA33" s="286"/>
    </row>
    <row r="34" spans="1:27" ht="15" hidden="1" customHeight="1" x14ac:dyDescent="0.25">
      <c r="A34" s="512"/>
      <c r="B34" s="516"/>
      <c r="C34" s="520"/>
      <c r="D34" s="523"/>
      <c r="E34" s="344"/>
      <c r="F34" s="316"/>
      <c r="G34" s="314"/>
      <c r="H34" s="314"/>
      <c r="I34" s="280"/>
      <c r="J34" s="203"/>
      <c r="K34" s="289"/>
      <c r="L34" s="289"/>
      <c r="M34" s="345"/>
      <c r="N34" s="346"/>
      <c r="O34" s="347"/>
      <c r="P34" s="347"/>
      <c r="Q34" s="347"/>
      <c r="R34" s="347"/>
      <c r="S34" s="289"/>
      <c r="T34" s="289"/>
      <c r="U34" s="289"/>
      <c r="V34" s="539"/>
      <c r="W34" s="540"/>
      <c r="X34" s="38"/>
      <c r="Y34" s="285"/>
      <c r="Z34" s="286"/>
      <c r="AA34" s="286"/>
    </row>
    <row r="35" spans="1:27" ht="15" hidden="1" customHeight="1" x14ac:dyDescent="0.25">
      <c r="A35" s="512"/>
      <c r="B35" s="516"/>
      <c r="C35" s="520"/>
      <c r="D35" s="523"/>
      <c r="E35" s="344"/>
      <c r="F35" s="316"/>
      <c r="G35" s="314"/>
      <c r="H35" s="314"/>
      <c r="I35" s="280"/>
      <c r="J35" s="203"/>
      <c r="K35" s="289"/>
      <c r="L35" s="289"/>
      <c r="M35" s="345"/>
      <c r="N35" s="346"/>
      <c r="O35" s="347"/>
      <c r="P35" s="347"/>
      <c r="Q35" s="347"/>
      <c r="R35" s="347"/>
      <c r="S35" s="289"/>
      <c r="T35" s="289"/>
      <c r="U35" s="289"/>
      <c r="V35" s="539"/>
      <c r="W35" s="540"/>
      <c r="X35" s="38"/>
      <c r="Y35" s="285"/>
      <c r="Z35" s="286"/>
      <c r="AA35" s="286"/>
    </row>
    <row r="36" spans="1:27" ht="15" hidden="1" customHeight="1" x14ac:dyDescent="0.25">
      <c r="A36" s="513"/>
      <c r="B36" s="517"/>
      <c r="C36" s="491"/>
      <c r="D36" s="524"/>
      <c r="E36" s="344"/>
      <c r="F36" s="317"/>
      <c r="G36" s="203"/>
      <c r="H36" s="203"/>
      <c r="I36" s="280"/>
      <c r="J36" s="203"/>
      <c r="K36" s="289"/>
      <c r="L36" s="289"/>
      <c r="M36" s="345"/>
      <c r="N36" s="346"/>
      <c r="O36" s="347"/>
      <c r="P36" s="347"/>
      <c r="Q36" s="347"/>
      <c r="R36" s="347"/>
      <c r="S36" s="289"/>
      <c r="T36" s="289"/>
      <c r="U36" s="289"/>
      <c r="V36" s="533"/>
      <c r="W36" s="537"/>
      <c r="X36" s="38"/>
      <c r="Y36" s="285"/>
      <c r="Z36" s="286"/>
      <c r="AA36" s="286"/>
    </row>
    <row r="37" spans="1:27" ht="15" hidden="1" customHeight="1" x14ac:dyDescent="0.25">
      <c r="A37" s="513"/>
      <c r="B37" s="517"/>
      <c r="C37" s="491"/>
      <c r="D37" s="524"/>
      <c r="E37" s="344"/>
      <c r="F37" s="317"/>
      <c r="G37" s="203"/>
      <c r="H37" s="203"/>
      <c r="I37" s="280"/>
      <c r="J37" s="203"/>
      <c r="K37" s="289"/>
      <c r="L37" s="289"/>
      <c r="M37" s="345"/>
      <c r="N37" s="346"/>
      <c r="O37" s="347"/>
      <c r="P37" s="347"/>
      <c r="Q37" s="347"/>
      <c r="R37" s="347"/>
      <c r="S37" s="289"/>
      <c r="T37" s="289"/>
      <c r="U37" s="289"/>
      <c r="V37" s="533"/>
      <c r="W37" s="537"/>
      <c r="X37" s="38"/>
      <c r="Y37" s="285"/>
      <c r="Z37" s="286"/>
      <c r="AA37" s="286"/>
    </row>
    <row r="38" spans="1:27" ht="15" hidden="1" customHeight="1" thickBot="1" x14ac:dyDescent="0.3">
      <c r="A38" s="514"/>
      <c r="B38" s="518"/>
      <c r="C38" s="521"/>
      <c r="D38" s="525"/>
      <c r="E38" s="344"/>
      <c r="F38" s="319"/>
      <c r="G38" s="204"/>
      <c r="H38" s="204"/>
      <c r="I38" s="280"/>
      <c r="J38" s="203"/>
      <c r="K38" s="289"/>
      <c r="L38" s="289"/>
      <c r="M38" s="345"/>
      <c r="N38" s="346"/>
      <c r="O38" s="347"/>
      <c r="P38" s="347"/>
      <c r="Q38" s="347"/>
      <c r="R38" s="347"/>
      <c r="S38" s="289"/>
      <c r="T38" s="289"/>
      <c r="U38" s="289"/>
      <c r="V38" s="535"/>
      <c r="W38" s="538"/>
      <c r="X38" s="38"/>
    </row>
    <row r="39" spans="1:27" ht="28.5" hidden="1" customHeight="1" x14ac:dyDescent="0.25">
      <c r="A39" s="511" t="e">
        <f>'2 CONTEXTO E IDENTIFICACIÓN'!#REF!</f>
        <v>#REF!</v>
      </c>
      <c r="B39" s="515" t="e">
        <f>+'2 CONTEXTO E IDENTIFICACIÓN'!#REF!</f>
        <v>#REF!</v>
      </c>
      <c r="C39" s="519" t="str">
        <f>+'3 PROBABIL E IMPACTO INHERENTE'!E14</f>
        <v/>
      </c>
      <c r="D39" s="522" t="str">
        <f>+'3 PROBABIL E IMPACTO INHERENTE'!M14</f>
        <v/>
      </c>
      <c r="E39" s="344">
        <v>1</v>
      </c>
      <c r="F39" s="318"/>
      <c r="G39" s="49"/>
      <c r="H39" s="49"/>
      <c r="I39" s="280" t="str">
        <f t="shared" si="0"/>
        <v xml:space="preserve">  </v>
      </c>
      <c r="J39" s="203" t="s">
        <v>131</v>
      </c>
      <c r="K39" s="289">
        <f>+IFERROR(VLOOKUP($J39,'11 FORMULAS'!$B$51:$C$53,2,0),"")</f>
        <v>0.25</v>
      </c>
      <c r="L39" s="289" t="str">
        <f>+IFERROR(VLOOKUP($J39,'11 FORMULAS'!$B$51:$D$53,3,0),"")</f>
        <v>Probabilidad</v>
      </c>
      <c r="M39" s="345" t="s">
        <v>132</v>
      </c>
      <c r="N39" s="346">
        <f>+IFERROR(VLOOKUP($M39,'11 FORMULAS'!$B$54:$C$55,2,0),"")</f>
        <v>0.25</v>
      </c>
      <c r="O39" s="347" t="s">
        <v>144</v>
      </c>
      <c r="P39" s="347" t="s">
        <v>237</v>
      </c>
      <c r="Q39" s="347" t="s">
        <v>135</v>
      </c>
      <c r="R39" s="347" t="s">
        <v>245</v>
      </c>
      <c r="S39" s="289">
        <f t="shared" si="1"/>
        <v>0.5</v>
      </c>
      <c r="T39" s="289">
        <f>IF($L39='11 FORMULAS'!$D$51,$C$8-($C$8*$S$8),$C$8)</f>
        <v>0.36</v>
      </c>
      <c r="U39" s="289" t="str">
        <f>IF($L39='11 FORMULAS'!$D$53,$D$39-($D$39*$S$39),$D$39)</f>
        <v/>
      </c>
      <c r="V39" s="534">
        <f>+IF(T44="","",T44)</f>
        <v>0.36</v>
      </c>
      <c r="W39" s="536" t="str">
        <f>+IF(U44="","",U44)</f>
        <v/>
      </c>
      <c r="X39" s="38"/>
      <c r="Y39" s="285"/>
      <c r="Z39" s="286"/>
      <c r="AA39" s="286"/>
    </row>
    <row r="40" spans="1:27" ht="28.5" hidden="1" customHeight="1" x14ac:dyDescent="0.25">
      <c r="A40" s="512"/>
      <c r="B40" s="516"/>
      <c r="C40" s="520"/>
      <c r="D40" s="523"/>
      <c r="E40" s="344">
        <v>2</v>
      </c>
      <c r="F40" s="316"/>
      <c r="G40" s="314"/>
      <c r="H40" s="314"/>
      <c r="I40" s="280" t="str">
        <f t="shared" si="0"/>
        <v xml:space="preserve">  </v>
      </c>
      <c r="J40" s="203" t="s">
        <v>131</v>
      </c>
      <c r="K40" s="289">
        <f>+IFERROR(VLOOKUP($J40,'11 FORMULAS'!$B$51:$C$53,2,0),"")</f>
        <v>0.25</v>
      </c>
      <c r="L40" s="289" t="str">
        <f>+IFERROR(VLOOKUP($J40,'11 FORMULAS'!$B$51:$D$53,3,0),"")</f>
        <v>Probabilidad</v>
      </c>
      <c r="M40" s="345" t="s">
        <v>132</v>
      </c>
      <c r="N40" s="346">
        <f>+IFERROR(VLOOKUP($M40,'11 FORMULAS'!$B$54:$C$55,2,0),"")</f>
        <v>0.25</v>
      </c>
      <c r="O40" s="347" t="s">
        <v>144</v>
      </c>
      <c r="P40" s="347" t="s">
        <v>237</v>
      </c>
      <c r="Q40" s="347" t="s">
        <v>135</v>
      </c>
      <c r="R40" s="347" t="s">
        <v>245</v>
      </c>
      <c r="S40" s="289">
        <f t="shared" si="1"/>
        <v>0.5</v>
      </c>
      <c r="T40" s="289">
        <f>IF($L40='11 FORMULAS'!$D$51,$C$8-($C$8*$S$8),$C$8)</f>
        <v>0.36</v>
      </c>
      <c r="U40" s="289" t="str">
        <f>IF($L40='11 FORMULAS'!$D$53,$D$39-($D$39*$S$39),$D$39)</f>
        <v/>
      </c>
      <c r="V40" s="539"/>
      <c r="W40" s="540"/>
      <c r="X40" s="38"/>
      <c r="Y40" s="285"/>
      <c r="Z40" s="286"/>
      <c r="AA40" s="286"/>
    </row>
    <row r="41" spans="1:27" ht="28.5" hidden="1" customHeight="1" x14ac:dyDescent="0.25">
      <c r="A41" s="512"/>
      <c r="B41" s="516"/>
      <c r="C41" s="520"/>
      <c r="D41" s="523"/>
      <c r="E41" s="344">
        <v>3</v>
      </c>
      <c r="F41" s="316"/>
      <c r="G41" s="314"/>
      <c r="H41" s="314"/>
      <c r="I41" s="280" t="str">
        <f t="shared" si="0"/>
        <v xml:space="preserve">  </v>
      </c>
      <c r="J41" s="203" t="s">
        <v>131</v>
      </c>
      <c r="K41" s="289">
        <f>+IFERROR(VLOOKUP($J41,'11 FORMULAS'!$B$51:$C$53,2,0),"")</f>
        <v>0.25</v>
      </c>
      <c r="L41" s="289" t="str">
        <f>+IFERROR(VLOOKUP($J41,'11 FORMULAS'!$B$51:$D$53,3,0),"")</f>
        <v>Probabilidad</v>
      </c>
      <c r="M41" s="345" t="s">
        <v>132</v>
      </c>
      <c r="N41" s="346">
        <f>+IFERROR(VLOOKUP($M41,'11 FORMULAS'!$B$54:$C$55,2,0),"")</f>
        <v>0.25</v>
      </c>
      <c r="O41" s="347" t="s">
        <v>144</v>
      </c>
      <c r="P41" s="347" t="s">
        <v>237</v>
      </c>
      <c r="Q41" s="347" t="s">
        <v>135</v>
      </c>
      <c r="R41" s="347" t="s">
        <v>245</v>
      </c>
      <c r="S41" s="289">
        <f t="shared" si="1"/>
        <v>0.5</v>
      </c>
      <c r="T41" s="289">
        <f>IF($L41='11 FORMULAS'!$D$51,$C$8-($C$8*$S$8),$C$8)</f>
        <v>0.36</v>
      </c>
      <c r="U41" s="289" t="str">
        <f>IF($L41='11 FORMULAS'!$D$53,$D$39-($D$39*$S$39),$D$39)</f>
        <v/>
      </c>
      <c r="V41" s="539"/>
      <c r="W41" s="540"/>
      <c r="X41" s="38"/>
      <c r="Y41" s="285"/>
      <c r="Z41" s="286"/>
      <c r="AA41" s="286"/>
    </row>
    <row r="42" spans="1:27" ht="28.5" hidden="1" customHeight="1" x14ac:dyDescent="0.25">
      <c r="A42" s="513"/>
      <c r="B42" s="517"/>
      <c r="C42" s="491"/>
      <c r="D42" s="524"/>
      <c r="E42" s="344">
        <v>4</v>
      </c>
      <c r="F42" s="317"/>
      <c r="G42" s="203"/>
      <c r="H42" s="203"/>
      <c r="I42" s="280" t="str">
        <f t="shared" si="0"/>
        <v xml:space="preserve">  </v>
      </c>
      <c r="J42" s="203" t="s">
        <v>131</v>
      </c>
      <c r="K42" s="289">
        <f>+IFERROR(VLOOKUP($J42,'11 FORMULAS'!$B$51:$C$53,2,0),"")</f>
        <v>0.25</v>
      </c>
      <c r="L42" s="289" t="str">
        <f>+IFERROR(VLOOKUP($J42,'11 FORMULAS'!$B$51:$D$53,3,0),"")</f>
        <v>Probabilidad</v>
      </c>
      <c r="M42" s="345" t="s">
        <v>132</v>
      </c>
      <c r="N42" s="346">
        <f>+IFERROR(VLOOKUP($M42,'11 FORMULAS'!$B$54:$C$55,2,0),"")</f>
        <v>0.25</v>
      </c>
      <c r="O42" s="347" t="s">
        <v>144</v>
      </c>
      <c r="P42" s="347" t="s">
        <v>237</v>
      </c>
      <c r="Q42" s="347" t="s">
        <v>135</v>
      </c>
      <c r="R42" s="347" t="s">
        <v>245</v>
      </c>
      <c r="S42" s="289">
        <f t="shared" si="1"/>
        <v>0.5</v>
      </c>
      <c r="T42" s="289">
        <f>IF($L42='11 FORMULAS'!$D$51,$C$8-($C$8*$S$8),$C$8)</f>
        <v>0.36</v>
      </c>
      <c r="U42" s="289" t="str">
        <f>IF($L42='11 FORMULAS'!$D$53,$D$39-($D$39*$S$39),$D$39)</f>
        <v/>
      </c>
      <c r="V42" s="533"/>
      <c r="W42" s="537"/>
      <c r="X42" s="38"/>
      <c r="Y42" s="285"/>
      <c r="Z42" s="286"/>
      <c r="AA42" s="286"/>
    </row>
    <row r="43" spans="1:27" ht="28.5" hidden="1" customHeight="1" x14ac:dyDescent="0.25">
      <c r="A43" s="513"/>
      <c r="B43" s="517"/>
      <c r="C43" s="491"/>
      <c r="D43" s="524"/>
      <c r="E43" s="344">
        <v>5</v>
      </c>
      <c r="F43" s="317"/>
      <c r="G43" s="203"/>
      <c r="H43" s="203"/>
      <c r="I43" s="280" t="str">
        <f t="shared" si="0"/>
        <v xml:space="preserve">  </v>
      </c>
      <c r="J43" s="203" t="s">
        <v>131</v>
      </c>
      <c r="K43" s="289">
        <f>+IFERROR(VLOOKUP($J43,'11 FORMULAS'!$B$51:$C$53,2,0),"")</f>
        <v>0.25</v>
      </c>
      <c r="L43" s="289" t="str">
        <f>+IFERROR(VLOOKUP($J43,'11 FORMULAS'!$B$51:$D$53,3,0),"")</f>
        <v>Probabilidad</v>
      </c>
      <c r="M43" s="345" t="s">
        <v>132</v>
      </c>
      <c r="N43" s="346">
        <f>+IFERROR(VLOOKUP($M43,'11 FORMULAS'!$B$54:$C$55,2,0),"")</f>
        <v>0.25</v>
      </c>
      <c r="O43" s="347" t="s">
        <v>144</v>
      </c>
      <c r="P43" s="347" t="s">
        <v>237</v>
      </c>
      <c r="Q43" s="347" t="s">
        <v>135</v>
      </c>
      <c r="R43" s="347" t="s">
        <v>245</v>
      </c>
      <c r="S43" s="289">
        <f t="shared" si="1"/>
        <v>0.5</v>
      </c>
      <c r="T43" s="289">
        <f>IF($L43='11 FORMULAS'!$D$51,$C$8-($C$8*$S$8),$C$8)</f>
        <v>0.36</v>
      </c>
      <c r="U43" s="289" t="str">
        <f>IF($L43='11 FORMULAS'!$D$53,$D$39-($D$39*$S$39),$D$39)</f>
        <v/>
      </c>
      <c r="V43" s="533"/>
      <c r="W43" s="537"/>
      <c r="X43" s="38"/>
      <c r="Y43" s="285"/>
      <c r="Z43" s="286"/>
      <c r="AA43" s="286"/>
    </row>
    <row r="44" spans="1:27" ht="29.25" hidden="1" customHeight="1" thickBot="1" x14ac:dyDescent="0.3">
      <c r="A44" s="514"/>
      <c r="B44" s="518"/>
      <c r="C44" s="521"/>
      <c r="D44" s="525"/>
      <c r="E44" s="348">
        <v>6</v>
      </c>
      <c r="F44" s="319"/>
      <c r="G44" s="204"/>
      <c r="H44" s="204"/>
      <c r="I44" s="280" t="str">
        <f t="shared" si="0"/>
        <v xml:space="preserve">  </v>
      </c>
      <c r="J44" s="203" t="s">
        <v>131</v>
      </c>
      <c r="K44" s="289">
        <f>+IFERROR(VLOOKUP($J44,'11 FORMULAS'!$B$51:$C$53,2,0),"")</f>
        <v>0.25</v>
      </c>
      <c r="L44" s="289" t="str">
        <f>+IFERROR(VLOOKUP($J44,'11 FORMULAS'!$B$51:$D$53,3,0),"")</f>
        <v>Probabilidad</v>
      </c>
      <c r="M44" s="345" t="s">
        <v>132</v>
      </c>
      <c r="N44" s="346">
        <f>+IFERROR(VLOOKUP($M44,'11 FORMULAS'!$B$54:$C$55,2,0),"")</f>
        <v>0.25</v>
      </c>
      <c r="O44" s="347" t="s">
        <v>144</v>
      </c>
      <c r="P44" s="347" t="s">
        <v>237</v>
      </c>
      <c r="Q44" s="347" t="s">
        <v>135</v>
      </c>
      <c r="R44" s="347" t="s">
        <v>245</v>
      </c>
      <c r="S44" s="289">
        <f t="shared" si="1"/>
        <v>0.5</v>
      </c>
      <c r="T44" s="289">
        <f>IF($L44='11 FORMULAS'!$D$51,$C$8-($C$8*$S$8),$C$8)</f>
        <v>0.36</v>
      </c>
      <c r="U44" s="289" t="str">
        <f>IF($L44='11 FORMULAS'!$D$53,$D$39-($D$39*$S$39),$D$39)</f>
        <v/>
      </c>
      <c r="V44" s="535"/>
      <c r="W44" s="538"/>
      <c r="X44" s="38"/>
    </row>
    <row r="45" spans="1:27" ht="28.5" hidden="1" customHeight="1" x14ac:dyDescent="0.25">
      <c r="A45" s="511" t="e">
        <f>'2 CONTEXTO E IDENTIFICACIÓN'!#REF!</f>
        <v>#REF!</v>
      </c>
      <c r="B45" s="515" t="e">
        <f>+'2 CONTEXTO E IDENTIFICACIÓN'!#REF!</f>
        <v>#REF!</v>
      </c>
      <c r="C45" s="519" t="str">
        <f>+'3 PROBABIL E IMPACTO INHERENTE'!E15</f>
        <v/>
      </c>
      <c r="D45" s="522" t="str">
        <f>+'3 PROBABIL E IMPACTO INHERENTE'!M15</f>
        <v/>
      </c>
      <c r="E45" s="349">
        <v>1</v>
      </c>
      <c r="F45" s="318"/>
      <c r="G45" s="49"/>
      <c r="H45" s="49"/>
      <c r="I45" s="280" t="str">
        <f t="shared" si="0"/>
        <v xml:space="preserve">  </v>
      </c>
      <c r="J45" s="203" t="s">
        <v>131</v>
      </c>
      <c r="K45" s="289">
        <f>+IFERROR(VLOOKUP($J45,'11 FORMULAS'!$B$51:$C$53,2,0),"")</f>
        <v>0.25</v>
      </c>
      <c r="L45" s="289" t="str">
        <f>+IFERROR(VLOOKUP($J45,'11 FORMULAS'!$B$51:$D$53,3,0),"")</f>
        <v>Probabilidad</v>
      </c>
      <c r="M45" s="345" t="s">
        <v>132</v>
      </c>
      <c r="N45" s="346">
        <f>+IFERROR(VLOOKUP($M45,'11 FORMULAS'!$B$54:$C$55,2,0),"")</f>
        <v>0.25</v>
      </c>
      <c r="O45" s="347" t="s">
        <v>144</v>
      </c>
      <c r="P45" s="347" t="s">
        <v>237</v>
      </c>
      <c r="Q45" s="347" t="s">
        <v>135</v>
      </c>
      <c r="R45" s="347" t="s">
        <v>245</v>
      </c>
      <c r="S45" s="289">
        <f t="shared" si="1"/>
        <v>0.5</v>
      </c>
      <c r="T45" s="289">
        <f>IF($L45='11 FORMULAS'!$D$51,$C$8-($C$8*$S$8),$C$8)</f>
        <v>0.36</v>
      </c>
      <c r="U45" s="289" t="str">
        <f>IF($L45='11 FORMULAS'!$D$53,$D$45-($D$45*$S$45),$D$45)</f>
        <v/>
      </c>
      <c r="V45" s="534">
        <f>+IF(T50="","",T50)</f>
        <v>0.36</v>
      </c>
      <c r="W45" s="536" t="str">
        <f>+IF(U50="","",U50)</f>
        <v/>
      </c>
      <c r="X45" s="38"/>
      <c r="Y45" s="285"/>
      <c r="Z45" s="286"/>
      <c r="AA45" s="286"/>
    </row>
    <row r="46" spans="1:27" ht="28.5" hidden="1" customHeight="1" x14ac:dyDescent="0.25">
      <c r="A46" s="513"/>
      <c r="B46" s="517"/>
      <c r="C46" s="491"/>
      <c r="D46" s="524"/>
      <c r="E46" s="344">
        <v>2</v>
      </c>
      <c r="F46" s="317"/>
      <c r="G46" s="203"/>
      <c r="H46" s="203"/>
      <c r="I46" s="280" t="str">
        <f t="shared" si="0"/>
        <v xml:space="preserve">  </v>
      </c>
      <c r="J46" s="203" t="s">
        <v>131</v>
      </c>
      <c r="K46" s="289">
        <f>+IFERROR(VLOOKUP($J46,'11 FORMULAS'!$B$51:$C$53,2,0),"")</f>
        <v>0.25</v>
      </c>
      <c r="L46" s="289" t="str">
        <f>+IFERROR(VLOOKUP($J46,'11 FORMULAS'!$B$51:$D$53,3,0),"")</f>
        <v>Probabilidad</v>
      </c>
      <c r="M46" s="345" t="s">
        <v>132</v>
      </c>
      <c r="N46" s="346">
        <f>+IFERROR(VLOOKUP($M46,'11 FORMULAS'!$B$54:$C$55,2,0),"")</f>
        <v>0.25</v>
      </c>
      <c r="O46" s="347" t="s">
        <v>144</v>
      </c>
      <c r="P46" s="347" t="s">
        <v>237</v>
      </c>
      <c r="Q46" s="347" t="s">
        <v>135</v>
      </c>
      <c r="R46" s="347" t="s">
        <v>245</v>
      </c>
      <c r="S46" s="289">
        <f t="shared" si="1"/>
        <v>0.5</v>
      </c>
      <c r="T46" s="289">
        <f>IF($L46='11 FORMULAS'!$D$51,$C$8-($C$8*$S$8),$C$8)</f>
        <v>0.36</v>
      </c>
      <c r="U46" s="289" t="str">
        <f>IF($L46='11 FORMULAS'!$D$53,$D$45-($D$45*$S$45),$D$45)</f>
        <v/>
      </c>
      <c r="V46" s="533"/>
      <c r="W46" s="537"/>
      <c r="X46" s="38"/>
      <c r="Y46" s="285"/>
      <c r="Z46" s="286"/>
      <c r="AA46" s="286"/>
    </row>
    <row r="47" spans="1:27" ht="28.5" hidden="1" customHeight="1" x14ac:dyDescent="0.25">
      <c r="A47" s="513"/>
      <c r="B47" s="517"/>
      <c r="C47" s="491"/>
      <c r="D47" s="524"/>
      <c r="E47" s="344">
        <v>3</v>
      </c>
      <c r="F47" s="317"/>
      <c r="G47" s="203"/>
      <c r="H47" s="203"/>
      <c r="I47" s="280" t="str">
        <f t="shared" si="0"/>
        <v xml:space="preserve">  </v>
      </c>
      <c r="J47" s="203" t="s">
        <v>131</v>
      </c>
      <c r="K47" s="289">
        <f>+IFERROR(VLOOKUP($J47,'11 FORMULAS'!$B$51:$C$53,2,0),"")</f>
        <v>0.25</v>
      </c>
      <c r="L47" s="289" t="str">
        <f>+IFERROR(VLOOKUP($J47,'11 FORMULAS'!$B$51:$D$53,3,0),"")</f>
        <v>Probabilidad</v>
      </c>
      <c r="M47" s="345" t="s">
        <v>132</v>
      </c>
      <c r="N47" s="346">
        <f>+IFERROR(VLOOKUP($M47,'11 FORMULAS'!$B$54:$C$55,2,0),"")</f>
        <v>0.25</v>
      </c>
      <c r="O47" s="347" t="s">
        <v>144</v>
      </c>
      <c r="P47" s="347" t="s">
        <v>237</v>
      </c>
      <c r="Q47" s="347" t="s">
        <v>135</v>
      </c>
      <c r="R47" s="347" t="s">
        <v>245</v>
      </c>
      <c r="S47" s="289">
        <f t="shared" si="1"/>
        <v>0.5</v>
      </c>
      <c r="T47" s="289">
        <f>IF($L47='11 FORMULAS'!$D$51,$C$8-($C$8*$S$8),$C$8)</f>
        <v>0.36</v>
      </c>
      <c r="U47" s="289" t="str">
        <f>IF($L47='11 FORMULAS'!$D$53,$D$45-($D$45*$S$45),$D$45)</f>
        <v/>
      </c>
      <c r="V47" s="533"/>
      <c r="W47" s="537"/>
      <c r="X47" s="38"/>
      <c r="Y47" s="285"/>
      <c r="Z47" s="286"/>
      <c r="AA47" s="286"/>
    </row>
    <row r="48" spans="1:27" ht="28.5" hidden="1" customHeight="1" x14ac:dyDescent="0.25">
      <c r="A48" s="513"/>
      <c r="B48" s="517"/>
      <c r="C48" s="491"/>
      <c r="D48" s="524"/>
      <c r="E48" s="344">
        <v>4</v>
      </c>
      <c r="F48" s="317"/>
      <c r="G48" s="203"/>
      <c r="H48" s="203"/>
      <c r="I48" s="280" t="str">
        <f t="shared" si="0"/>
        <v xml:space="preserve">  </v>
      </c>
      <c r="J48" s="203" t="s">
        <v>131</v>
      </c>
      <c r="K48" s="289">
        <f>+IFERROR(VLOOKUP($J48,'11 FORMULAS'!$B$51:$C$53,2,0),"")</f>
        <v>0.25</v>
      </c>
      <c r="L48" s="289" t="str">
        <f>+IFERROR(VLOOKUP($J48,'11 FORMULAS'!$B$51:$D$53,3,0),"")</f>
        <v>Probabilidad</v>
      </c>
      <c r="M48" s="345" t="s">
        <v>132</v>
      </c>
      <c r="N48" s="346">
        <f>+IFERROR(VLOOKUP($M48,'11 FORMULAS'!$B$54:$C$55,2,0),"")</f>
        <v>0.25</v>
      </c>
      <c r="O48" s="347" t="s">
        <v>144</v>
      </c>
      <c r="P48" s="347" t="s">
        <v>237</v>
      </c>
      <c r="Q48" s="347" t="s">
        <v>135</v>
      </c>
      <c r="R48" s="347" t="s">
        <v>245</v>
      </c>
      <c r="S48" s="289">
        <f t="shared" si="1"/>
        <v>0.5</v>
      </c>
      <c r="T48" s="289">
        <f>IF($L48='11 FORMULAS'!$D$51,$C$8-($C$8*$S$8),$C$8)</f>
        <v>0.36</v>
      </c>
      <c r="U48" s="289" t="str">
        <f>IF($L48='11 FORMULAS'!$D$53,$D$45-($D$45*$S$45),$D$45)</f>
        <v/>
      </c>
      <c r="V48" s="533"/>
      <c r="W48" s="537"/>
      <c r="X48" s="38"/>
      <c r="Y48" s="285"/>
      <c r="Z48" s="286"/>
      <c r="AA48" s="286"/>
    </row>
    <row r="49" spans="1:27" ht="28.5" hidden="1" customHeight="1" x14ac:dyDescent="0.25">
      <c r="A49" s="513"/>
      <c r="B49" s="517"/>
      <c r="C49" s="491"/>
      <c r="D49" s="524"/>
      <c r="E49" s="344">
        <v>5</v>
      </c>
      <c r="F49" s="317"/>
      <c r="G49" s="203"/>
      <c r="H49" s="203"/>
      <c r="I49" s="280" t="str">
        <f t="shared" si="0"/>
        <v xml:space="preserve">  </v>
      </c>
      <c r="J49" s="203" t="s">
        <v>131</v>
      </c>
      <c r="K49" s="289">
        <f>+IFERROR(VLOOKUP($J49,'11 FORMULAS'!$B$51:$C$53,2,0),"")</f>
        <v>0.25</v>
      </c>
      <c r="L49" s="289" t="str">
        <f>+IFERROR(VLOOKUP($J49,'11 FORMULAS'!$B$51:$D$53,3,0),"")</f>
        <v>Probabilidad</v>
      </c>
      <c r="M49" s="345" t="s">
        <v>132</v>
      </c>
      <c r="N49" s="346">
        <f>+IFERROR(VLOOKUP($M49,'11 FORMULAS'!$B$54:$C$55,2,0),"")</f>
        <v>0.25</v>
      </c>
      <c r="O49" s="347" t="s">
        <v>144</v>
      </c>
      <c r="P49" s="347" t="s">
        <v>237</v>
      </c>
      <c r="Q49" s="347" t="s">
        <v>135</v>
      </c>
      <c r="R49" s="347" t="s">
        <v>245</v>
      </c>
      <c r="S49" s="289">
        <f t="shared" si="1"/>
        <v>0.5</v>
      </c>
      <c r="T49" s="289">
        <f>IF($L49='11 FORMULAS'!$D$51,$C$8-($C$8*$S$8),$C$8)</f>
        <v>0.36</v>
      </c>
      <c r="U49" s="289" t="str">
        <f>IF($L49='11 FORMULAS'!$D$53,$D$45-($D$45*$S$45),$D$45)</f>
        <v/>
      </c>
      <c r="V49" s="533"/>
      <c r="W49" s="537"/>
      <c r="X49" s="38"/>
      <c r="Y49" s="285"/>
      <c r="Z49" s="286"/>
      <c r="AA49" s="286"/>
    </row>
    <row r="50" spans="1:27" ht="29.25" hidden="1" customHeight="1" thickBot="1" x14ac:dyDescent="0.3">
      <c r="A50" s="514"/>
      <c r="B50" s="518"/>
      <c r="C50" s="521"/>
      <c r="D50" s="525"/>
      <c r="E50" s="348">
        <v>6</v>
      </c>
      <c r="F50" s="319"/>
      <c r="G50" s="204"/>
      <c r="H50" s="204"/>
      <c r="I50" s="280" t="str">
        <f t="shared" si="0"/>
        <v xml:space="preserve">  </v>
      </c>
      <c r="J50" s="203" t="s">
        <v>131</v>
      </c>
      <c r="K50" s="289">
        <f>+IFERROR(VLOOKUP($J50,'11 FORMULAS'!$B$51:$C$53,2,0),"")</f>
        <v>0.25</v>
      </c>
      <c r="L50" s="289" t="str">
        <f>+IFERROR(VLOOKUP($J50,'11 FORMULAS'!$B$51:$D$53,3,0),"")</f>
        <v>Probabilidad</v>
      </c>
      <c r="M50" s="345" t="s">
        <v>132</v>
      </c>
      <c r="N50" s="346">
        <f>+IFERROR(VLOOKUP($M50,'11 FORMULAS'!$B$54:$C$55,2,0),"")</f>
        <v>0.25</v>
      </c>
      <c r="O50" s="347" t="s">
        <v>144</v>
      </c>
      <c r="P50" s="347" t="s">
        <v>237</v>
      </c>
      <c r="Q50" s="347" t="s">
        <v>135</v>
      </c>
      <c r="R50" s="347" t="s">
        <v>245</v>
      </c>
      <c r="S50" s="289">
        <f t="shared" si="1"/>
        <v>0.5</v>
      </c>
      <c r="T50" s="289">
        <f>IF($L50='11 FORMULAS'!$D$51,$C$8-($C$8*$S$8),$C$8)</f>
        <v>0.36</v>
      </c>
      <c r="U50" s="289" t="str">
        <f>IF($L50='11 FORMULAS'!$D$53,$D$45-($D$45*$S$45),$D$45)</f>
        <v/>
      </c>
      <c r="V50" s="535"/>
      <c r="W50" s="538"/>
      <c r="X50" s="38"/>
    </row>
    <row r="51" spans="1:27" ht="28.5" hidden="1" customHeight="1" x14ac:dyDescent="0.25">
      <c r="A51" s="511" t="e">
        <f>'2 CONTEXTO E IDENTIFICACIÓN'!#REF!</f>
        <v>#REF!</v>
      </c>
      <c r="B51" s="515" t="e">
        <f>+'2 CONTEXTO E IDENTIFICACIÓN'!#REF!</f>
        <v>#REF!</v>
      </c>
      <c r="C51" s="519" t="str">
        <f>+'3 PROBABIL E IMPACTO INHERENTE'!E16</f>
        <v/>
      </c>
      <c r="D51" s="522" t="str">
        <f>+'3 PROBABIL E IMPACTO INHERENTE'!M16</f>
        <v/>
      </c>
      <c r="E51" s="349">
        <v>1</v>
      </c>
      <c r="F51" s="318"/>
      <c r="G51" s="49"/>
      <c r="H51" s="49"/>
      <c r="I51" s="280" t="str">
        <f t="shared" si="0"/>
        <v xml:space="preserve">  </v>
      </c>
      <c r="J51" s="203" t="s">
        <v>131</v>
      </c>
      <c r="K51" s="289">
        <f>+IFERROR(VLOOKUP($J51,'11 FORMULAS'!$B$51:$C$53,2,0),"")</f>
        <v>0.25</v>
      </c>
      <c r="L51" s="289" t="str">
        <f>+IFERROR(VLOOKUP($J51,'11 FORMULAS'!$B$51:$D$53,3,0),"")</f>
        <v>Probabilidad</v>
      </c>
      <c r="M51" s="345" t="s">
        <v>132</v>
      </c>
      <c r="N51" s="346">
        <f>+IFERROR(VLOOKUP($M51,'11 FORMULAS'!$B$54:$C$55,2,0),"")</f>
        <v>0.25</v>
      </c>
      <c r="O51" s="347" t="s">
        <v>144</v>
      </c>
      <c r="P51" s="347" t="s">
        <v>237</v>
      </c>
      <c r="Q51" s="347" t="s">
        <v>135</v>
      </c>
      <c r="R51" s="347" t="s">
        <v>245</v>
      </c>
      <c r="S51" s="289">
        <f t="shared" si="1"/>
        <v>0.5</v>
      </c>
      <c r="T51" s="289">
        <f>IF($L51='11 FORMULAS'!$D$51,$C$8-($C$8*$S$8),$C$8)</f>
        <v>0.36</v>
      </c>
      <c r="U51" s="289" t="str">
        <f>IF($L51='11 FORMULAS'!$D$53,$D$51-($D$51*$S$51),$D$51)</f>
        <v/>
      </c>
      <c r="V51" s="534">
        <f>+IF(T56="","",T56)</f>
        <v>0.36</v>
      </c>
      <c r="W51" s="536" t="str">
        <f>+IF(U56="","",U56)</f>
        <v/>
      </c>
      <c r="X51" s="38"/>
      <c r="Y51" s="285"/>
      <c r="Z51" s="286"/>
      <c r="AA51" s="286"/>
    </row>
    <row r="52" spans="1:27" ht="28.5" hidden="1" customHeight="1" x14ac:dyDescent="0.25">
      <c r="A52" s="513"/>
      <c r="B52" s="517"/>
      <c r="C52" s="491"/>
      <c r="D52" s="524"/>
      <c r="E52" s="344">
        <v>2</v>
      </c>
      <c r="F52" s="317"/>
      <c r="G52" s="203"/>
      <c r="H52" s="203"/>
      <c r="I52" s="280" t="str">
        <f t="shared" si="0"/>
        <v xml:space="preserve">  </v>
      </c>
      <c r="J52" s="203" t="s">
        <v>131</v>
      </c>
      <c r="K52" s="289">
        <f>+IFERROR(VLOOKUP($J52,'11 FORMULAS'!$B$51:$C$53,2,0),"")</f>
        <v>0.25</v>
      </c>
      <c r="L52" s="289" t="str">
        <f>+IFERROR(VLOOKUP($J52,'11 FORMULAS'!$B$51:$D$53,3,0),"")</f>
        <v>Probabilidad</v>
      </c>
      <c r="M52" s="345" t="s">
        <v>132</v>
      </c>
      <c r="N52" s="346">
        <f>+IFERROR(VLOOKUP($M52,'11 FORMULAS'!$B$54:$C$55,2,0),"")</f>
        <v>0.25</v>
      </c>
      <c r="O52" s="347" t="s">
        <v>144</v>
      </c>
      <c r="P52" s="347" t="s">
        <v>237</v>
      </c>
      <c r="Q52" s="347" t="s">
        <v>135</v>
      </c>
      <c r="R52" s="347" t="s">
        <v>245</v>
      </c>
      <c r="S52" s="289">
        <f t="shared" si="1"/>
        <v>0.5</v>
      </c>
      <c r="T52" s="289">
        <f>IF($L52='11 FORMULAS'!$D$51,$C$8-($C$8*$S$8),$C$8)</f>
        <v>0.36</v>
      </c>
      <c r="U52" s="289" t="str">
        <f>IF($L52='11 FORMULAS'!$D$53,$D$51-($D$51*$S$51),$D$51)</f>
        <v/>
      </c>
      <c r="V52" s="533"/>
      <c r="W52" s="537"/>
      <c r="X52" s="38"/>
      <c r="Y52" s="285"/>
      <c r="Z52" s="286"/>
      <c r="AA52" s="286"/>
    </row>
    <row r="53" spans="1:27" ht="28.5" hidden="1" customHeight="1" x14ac:dyDescent="0.25">
      <c r="A53" s="513"/>
      <c r="B53" s="517"/>
      <c r="C53" s="491"/>
      <c r="D53" s="524"/>
      <c r="E53" s="344">
        <v>3</v>
      </c>
      <c r="F53" s="317"/>
      <c r="G53" s="203"/>
      <c r="H53" s="203"/>
      <c r="I53" s="280" t="str">
        <f t="shared" si="0"/>
        <v xml:space="preserve">  </v>
      </c>
      <c r="J53" s="203" t="s">
        <v>131</v>
      </c>
      <c r="K53" s="289">
        <f>+IFERROR(VLOOKUP($J53,'11 FORMULAS'!$B$51:$C$53,2,0),"")</f>
        <v>0.25</v>
      </c>
      <c r="L53" s="289" t="str">
        <f>+IFERROR(VLOOKUP($J53,'11 FORMULAS'!$B$51:$D$53,3,0),"")</f>
        <v>Probabilidad</v>
      </c>
      <c r="M53" s="345" t="s">
        <v>132</v>
      </c>
      <c r="N53" s="346">
        <f>+IFERROR(VLOOKUP($M53,'11 FORMULAS'!$B$54:$C$55,2,0),"")</f>
        <v>0.25</v>
      </c>
      <c r="O53" s="347" t="s">
        <v>144</v>
      </c>
      <c r="P53" s="347" t="s">
        <v>237</v>
      </c>
      <c r="Q53" s="347" t="s">
        <v>135</v>
      </c>
      <c r="R53" s="347" t="s">
        <v>245</v>
      </c>
      <c r="S53" s="289">
        <f t="shared" si="1"/>
        <v>0.5</v>
      </c>
      <c r="T53" s="289">
        <f>IF($L53='11 FORMULAS'!$D$51,$C$8-($C$8*$S$8),$C$8)</f>
        <v>0.36</v>
      </c>
      <c r="U53" s="289" t="str">
        <f>IF($L53='11 FORMULAS'!$D$53,$D$51-($D$51*$S$51),$D$51)</f>
        <v/>
      </c>
      <c r="V53" s="533"/>
      <c r="W53" s="537"/>
      <c r="X53" s="38"/>
      <c r="Y53" s="285"/>
      <c r="Z53" s="286"/>
      <c r="AA53" s="286"/>
    </row>
    <row r="54" spans="1:27" ht="28.5" hidden="1" customHeight="1" x14ac:dyDescent="0.25">
      <c r="A54" s="513"/>
      <c r="B54" s="517"/>
      <c r="C54" s="491"/>
      <c r="D54" s="524"/>
      <c r="E54" s="344">
        <v>4</v>
      </c>
      <c r="F54" s="317"/>
      <c r="G54" s="203"/>
      <c r="H54" s="203"/>
      <c r="I54" s="280" t="str">
        <f t="shared" si="0"/>
        <v xml:space="preserve">  </v>
      </c>
      <c r="J54" s="203" t="s">
        <v>131</v>
      </c>
      <c r="K54" s="289">
        <f>+IFERROR(VLOOKUP($J54,'11 FORMULAS'!$B$51:$C$53,2,0),"")</f>
        <v>0.25</v>
      </c>
      <c r="L54" s="289" t="str">
        <f>+IFERROR(VLOOKUP($J54,'11 FORMULAS'!$B$51:$D$53,3,0),"")</f>
        <v>Probabilidad</v>
      </c>
      <c r="M54" s="345" t="s">
        <v>132</v>
      </c>
      <c r="N54" s="346">
        <f>+IFERROR(VLOOKUP($M54,'11 FORMULAS'!$B$54:$C$55,2,0),"")</f>
        <v>0.25</v>
      </c>
      <c r="O54" s="347" t="s">
        <v>144</v>
      </c>
      <c r="P54" s="347" t="s">
        <v>237</v>
      </c>
      <c r="Q54" s="347" t="s">
        <v>135</v>
      </c>
      <c r="R54" s="347" t="s">
        <v>245</v>
      </c>
      <c r="S54" s="289">
        <f t="shared" si="1"/>
        <v>0.5</v>
      </c>
      <c r="T54" s="289">
        <f>IF($L54='11 FORMULAS'!$D$51,$C$8-($C$8*$S$8),$C$8)</f>
        <v>0.36</v>
      </c>
      <c r="U54" s="289" t="str">
        <f>IF($L54='11 FORMULAS'!$D$53,$D$51-($D$51*$S$51),$D$51)</f>
        <v/>
      </c>
      <c r="V54" s="533"/>
      <c r="W54" s="537"/>
      <c r="X54" s="38"/>
      <c r="Y54" s="285"/>
      <c r="Z54" s="286"/>
      <c r="AA54" s="286"/>
    </row>
    <row r="55" spans="1:27" ht="28.5" hidden="1" customHeight="1" x14ac:dyDescent="0.25">
      <c r="A55" s="513"/>
      <c r="B55" s="517"/>
      <c r="C55" s="491"/>
      <c r="D55" s="524"/>
      <c r="E55" s="344">
        <v>5</v>
      </c>
      <c r="F55" s="317"/>
      <c r="G55" s="203"/>
      <c r="H55" s="203"/>
      <c r="I55" s="280" t="str">
        <f t="shared" si="0"/>
        <v xml:space="preserve">  </v>
      </c>
      <c r="J55" s="203" t="s">
        <v>131</v>
      </c>
      <c r="K55" s="289">
        <f>+IFERROR(VLOOKUP($J55,'11 FORMULAS'!$B$51:$C$53,2,0),"")</f>
        <v>0.25</v>
      </c>
      <c r="L55" s="289" t="str">
        <f>+IFERROR(VLOOKUP($J55,'11 FORMULAS'!$B$51:$D$53,3,0),"")</f>
        <v>Probabilidad</v>
      </c>
      <c r="M55" s="345" t="s">
        <v>132</v>
      </c>
      <c r="N55" s="346">
        <f>+IFERROR(VLOOKUP($M55,'11 FORMULAS'!$B$54:$C$55,2,0),"")</f>
        <v>0.25</v>
      </c>
      <c r="O55" s="347" t="s">
        <v>144</v>
      </c>
      <c r="P55" s="347" t="s">
        <v>237</v>
      </c>
      <c r="Q55" s="347" t="s">
        <v>135</v>
      </c>
      <c r="R55" s="347" t="s">
        <v>245</v>
      </c>
      <c r="S55" s="289">
        <f t="shared" si="1"/>
        <v>0.5</v>
      </c>
      <c r="T55" s="289">
        <f>IF($L55='11 FORMULAS'!$D$51,$C$8-($C$8*$S$8),$C$8)</f>
        <v>0.36</v>
      </c>
      <c r="U55" s="289" t="str">
        <f>IF($L55='11 FORMULAS'!$D$53,$D$51-($D$51*$S$51),$D$51)</f>
        <v/>
      </c>
      <c r="V55" s="533"/>
      <c r="W55" s="537"/>
      <c r="X55" s="38"/>
      <c r="Y55" s="285"/>
      <c r="Z55" s="286"/>
      <c r="AA55" s="286"/>
    </row>
    <row r="56" spans="1:27" ht="29.25" hidden="1" customHeight="1" thickBot="1" x14ac:dyDescent="0.3">
      <c r="A56" s="514"/>
      <c r="B56" s="518"/>
      <c r="C56" s="521"/>
      <c r="D56" s="525"/>
      <c r="E56" s="348">
        <v>6</v>
      </c>
      <c r="F56" s="319"/>
      <c r="G56" s="204"/>
      <c r="H56" s="204"/>
      <c r="I56" s="280" t="str">
        <f t="shared" si="0"/>
        <v xml:space="preserve">  </v>
      </c>
      <c r="J56" s="203" t="s">
        <v>131</v>
      </c>
      <c r="K56" s="289">
        <f>+IFERROR(VLOOKUP($J56,'11 FORMULAS'!$B$51:$C$53,2,0),"")</f>
        <v>0.25</v>
      </c>
      <c r="L56" s="289" t="str">
        <f>+IFERROR(VLOOKUP($J56,'11 FORMULAS'!$B$51:$D$53,3,0),"")</f>
        <v>Probabilidad</v>
      </c>
      <c r="M56" s="345" t="s">
        <v>132</v>
      </c>
      <c r="N56" s="346">
        <f>+IFERROR(VLOOKUP($M56,'11 FORMULAS'!$B$54:$C$55,2,0),"")</f>
        <v>0.25</v>
      </c>
      <c r="O56" s="347" t="s">
        <v>144</v>
      </c>
      <c r="P56" s="347" t="s">
        <v>237</v>
      </c>
      <c r="Q56" s="347" t="s">
        <v>135</v>
      </c>
      <c r="R56" s="347" t="s">
        <v>245</v>
      </c>
      <c r="S56" s="289">
        <f t="shared" si="1"/>
        <v>0.5</v>
      </c>
      <c r="T56" s="289">
        <f>IF($L56='11 FORMULAS'!$D$51,$C$8-($C$8*$S$8),$C$8)</f>
        <v>0.36</v>
      </c>
      <c r="U56" s="289" t="str">
        <f>IF($L56='11 FORMULAS'!$D$53,$D$51-($D$51*$S$51),$D$51)</f>
        <v/>
      </c>
      <c r="V56" s="535"/>
      <c r="W56" s="538"/>
      <c r="X56" s="38"/>
    </row>
    <row r="57" spans="1:27" ht="28.5" hidden="1" customHeight="1" x14ac:dyDescent="0.25">
      <c r="A57" s="511" t="e">
        <f>'2 CONTEXTO E IDENTIFICACIÓN'!#REF!</f>
        <v>#REF!</v>
      </c>
      <c r="B57" s="515" t="e">
        <f>+'2 CONTEXTO E IDENTIFICACIÓN'!#REF!</f>
        <v>#REF!</v>
      </c>
      <c r="C57" s="519" t="str">
        <f>+'3 PROBABIL E IMPACTO INHERENTE'!E17</f>
        <v/>
      </c>
      <c r="D57" s="522" t="str">
        <f>+'3 PROBABIL E IMPACTO INHERENTE'!M17</f>
        <v/>
      </c>
      <c r="E57" s="349">
        <v>1</v>
      </c>
      <c r="F57" s="318"/>
      <c r="G57" s="49"/>
      <c r="H57" s="49"/>
      <c r="I57" s="280" t="str">
        <f t="shared" si="0"/>
        <v xml:space="preserve">  </v>
      </c>
      <c r="J57" s="203" t="s">
        <v>131</v>
      </c>
      <c r="K57" s="289">
        <f>+IFERROR(VLOOKUP($J57,'11 FORMULAS'!$B$51:$C$53,2,0),"")</f>
        <v>0.25</v>
      </c>
      <c r="L57" s="289" t="str">
        <f>+IFERROR(VLOOKUP($J57,'11 FORMULAS'!$B$51:$D$53,3,0),"")</f>
        <v>Probabilidad</v>
      </c>
      <c r="M57" s="345" t="s">
        <v>132</v>
      </c>
      <c r="N57" s="346">
        <f>+IFERROR(VLOOKUP($M57,'11 FORMULAS'!$B$54:$C$55,2,0),"")</f>
        <v>0.25</v>
      </c>
      <c r="O57" s="347" t="s">
        <v>144</v>
      </c>
      <c r="P57" s="347" t="s">
        <v>237</v>
      </c>
      <c r="Q57" s="347" t="s">
        <v>135</v>
      </c>
      <c r="R57" s="347" t="s">
        <v>245</v>
      </c>
      <c r="S57" s="289">
        <f t="shared" si="1"/>
        <v>0.5</v>
      </c>
      <c r="T57" s="289">
        <f>IF($L57='11 FORMULAS'!$D$51,$C$8-($C$8*$S$8),$C$8)</f>
        <v>0.36</v>
      </c>
      <c r="U57" s="289" t="str">
        <f>IF($L57='11 FORMULAS'!$D$53,$D$57-($D$57*$S$57),$D$57)</f>
        <v/>
      </c>
      <c r="V57" s="534">
        <f>+IF(T62="","",T62)</f>
        <v>0.36</v>
      </c>
      <c r="W57" s="536" t="str">
        <f>+IF(U62="","",U62)</f>
        <v/>
      </c>
      <c r="X57" s="38"/>
      <c r="Y57" s="285"/>
      <c r="Z57" s="286"/>
      <c r="AA57" s="286"/>
    </row>
    <row r="58" spans="1:27" ht="28.5" hidden="1" customHeight="1" x14ac:dyDescent="0.25">
      <c r="A58" s="513"/>
      <c r="B58" s="517"/>
      <c r="C58" s="491"/>
      <c r="D58" s="524"/>
      <c r="E58" s="344">
        <v>2</v>
      </c>
      <c r="F58" s="317"/>
      <c r="G58" s="203"/>
      <c r="H58" s="203"/>
      <c r="I58" s="280" t="str">
        <f t="shared" si="0"/>
        <v xml:space="preserve">  </v>
      </c>
      <c r="J58" s="203" t="s">
        <v>131</v>
      </c>
      <c r="K58" s="289">
        <f>+IFERROR(VLOOKUP($J58,'11 FORMULAS'!$B$51:$C$53,2,0),"")</f>
        <v>0.25</v>
      </c>
      <c r="L58" s="289" t="str">
        <f>+IFERROR(VLOOKUP($J58,'11 FORMULAS'!$B$51:$D$53,3,0),"")</f>
        <v>Probabilidad</v>
      </c>
      <c r="M58" s="345" t="s">
        <v>132</v>
      </c>
      <c r="N58" s="346">
        <f>+IFERROR(VLOOKUP($M58,'11 FORMULAS'!$B$54:$C$55,2,0),"")</f>
        <v>0.25</v>
      </c>
      <c r="O58" s="347" t="s">
        <v>144</v>
      </c>
      <c r="P58" s="347" t="s">
        <v>237</v>
      </c>
      <c r="Q58" s="347" t="s">
        <v>135</v>
      </c>
      <c r="R58" s="347" t="s">
        <v>245</v>
      </c>
      <c r="S58" s="289">
        <f t="shared" si="1"/>
        <v>0.5</v>
      </c>
      <c r="T58" s="289">
        <f>IF($L58='11 FORMULAS'!$D$51,$C$8-($C$8*$S$8),$C$8)</f>
        <v>0.36</v>
      </c>
      <c r="U58" s="289" t="str">
        <f>IF($L58='11 FORMULAS'!$D$53,$D$57-($D$57*$S$57),$D$57)</f>
        <v/>
      </c>
      <c r="V58" s="533"/>
      <c r="W58" s="537"/>
      <c r="X58" s="38"/>
      <c r="Y58" s="285"/>
      <c r="Z58" s="286"/>
      <c r="AA58" s="286"/>
    </row>
    <row r="59" spans="1:27" ht="28.5" hidden="1" customHeight="1" x14ac:dyDescent="0.25">
      <c r="A59" s="513"/>
      <c r="B59" s="517"/>
      <c r="C59" s="491"/>
      <c r="D59" s="524"/>
      <c r="E59" s="344">
        <v>3</v>
      </c>
      <c r="F59" s="317"/>
      <c r="G59" s="203"/>
      <c r="H59" s="203"/>
      <c r="I59" s="280" t="str">
        <f t="shared" si="0"/>
        <v xml:space="preserve">  </v>
      </c>
      <c r="J59" s="203" t="s">
        <v>131</v>
      </c>
      <c r="K59" s="289">
        <f>+IFERROR(VLOOKUP($J59,'11 FORMULAS'!$B$51:$C$53,2,0),"")</f>
        <v>0.25</v>
      </c>
      <c r="L59" s="289" t="str">
        <f>+IFERROR(VLOOKUP($J59,'11 FORMULAS'!$B$51:$D$53,3,0),"")</f>
        <v>Probabilidad</v>
      </c>
      <c r="M59" s="345" t="s">
        <v>132</v>
      </c>
      <c r="N59" s="346">
        <f>+IFERROR(VLOOKUP($M59,'11 FORMULAS'!$B$54:$C$55,2,0),"")</f>
        <v>0.25</v>
      </c>
      <c r="O59" s="347" t="s">
        <v>144</v>
      </c>
      <c r="P59" s="347" t="s">
        <v>237</v>
      </c>
      <c r="Q59" s="347" t="s">
        <v>135</v>
      </c>
      <c r="R59" s="347" t="s">
        <v>245</v>
      </c>
      <c r="S59" s="289">
        <f t="shared" si="1"/>
        <v>0.5</v>
      </c>
      <c r="T59" s="289">
        <f>IF($L59='11 FORMULAS'!$D$51,$C$8-($C$8*$S$8),$C$8)</f>
        <v>0.36</v>
      </c>
      <c r="U59" s="289" t="str">
        <f>IF($L59='11 FORMULAS'!$D$53,$D$57-($D$57*$S$57),$D$57)</f>
        <v/>
      </c>
      <c r="V59" s="533"/>
      <c r="W59" s="537"/>
      <c r="X59" s="38"/>
      <c r="Y59" s="285"/>
      <c r="Z59" s="286"/>
      <c r="AA59" s="286"/>
    </row>
    <row r="60" spans="1:27" ht="28.5" hidden="1" customHeight="1" x14ac:dyDescent="0.25">
      <c r="A60" s="513"/>
      <c r="B60" s="517"/>
      <c r="C60" s="491"/>
      <c r="D60" s="524"/>
      <c r="E60" s="344">
        <v>4</v>
      </c>
      <c r="F60" s="317"/>
      <c r="G60" s="203"/>
      <c r="H60" s="203"/>
      <c r="I60" s="280" t="str">
        <f t="shared" si="0"/>
        <v xml:space="preserve">  </v>
      </c>
      <c r="J60" s="203" t="s">
        <v>131</v>
      </c>
      <c r="K60" s="289">
        <f>+IFERROR(VLOOKUP($J60,'11 FORMULAS'!$B$51:$C$53,2,0),"")</f>
        <v>0.25</v>
      </c>
      <c r="L60" s="289" t="str">
        <f>+IFERROR(VLOOKUP($J60,'11 FORMULAS'!$B$51:$D$53,3,0),"")</f>
        <v>Probabilidad</v>
      </c>
      <c r="M60" s="345" t="s">
        <v>132</v>
      </c>
      <c r="N60" s="346">
        <f>+IFERROR(VLOOKUP($M60,'11 FORMULAS'!$B$54:$C$55,2,0),"")</f>
        <v>0.25</v>
      </c>
      <c r="O60" s="347" t="s">
        <v>144</v>
      </c>
      <c r="P60" s="347" t="s">
        <v>237</v>
      </c>
      <c r="Q60" s="347" t="s">
        <v>135</v>
      </c>
      <c r="R60" s="347" t="s">
        <v>245</v>
      </c>
      <c r="S60" s="289">
        <f t="shared" si="1"/>
        <v>0.5</v>
      </c>
      <c r="T60" s="289">
        <f>IF($L60='11 FORMULAS'!$D$51,$C$8-($C$8*$S$8),$C$8)</f>
        <v>0.36</v>
      </c>
      <c r="U60" s="289" t="str">
        <f>IF($L60='11 FORMULAS'!$D$53,$D$57-($D$57*$S$57),$D$57)</f>
        <v/>
      </c>
      <c r="V60" s="533"/>
      <c r="W60" s="537"/>
      <c r="X60" s="38"/>
      <c r="Y60" s="285"/>
      <c r="Z60" s="286"/>
      <c r="AA60" s="286"/>
    </row>
    <row r="61" spans="1:27" ht="28.5" hidden="1" customHeight="1" x14ac:dyDescent="0.25">
      <c r="A61" s="513"/>
      <c r="B61" s="517"/>
      <c r="C61" s="491"/>
      <c r="D61" s="524"/>
      <c r="E61" s="344">
        <v>5</v>
      </c>
      <c r="F61" s="317"/>
      <c r="G61" s="203"/>
      <c r="H61" s="203"/>
      <c r="I61" s="280" t="str">
        <f t="shared" si="0"/>
        <v xml:space="preserve">  </v>
      </c>
      <c r="J61" s="203" t="s">
        <v>131</v>
      </c>
      <c r="K61" s="289">
        <f>+IFERROR(VLOOKUP($J61,'11 FORMULAS'!$B$51:$C$53,2,0),"")</f>
        <v>0.25</v>
      </c>
      <c r="L61" s="289" t="str">
        <f>+IFERROR(VLOOKUP($J61,'11 FORMULAS'!$B$51:$D$53,3,0),"")</f>
        <v>Probabilidad</v>
      </c>
      <c r="M61" s="345" t="s">
        <v>132</v>
      </c>
      <c r="N61" s="346">
        <f>+IFERROR(VLOOKUP($M61,'11 FORMULAS'!$B$54:$C$55,2,0),"")</f>
        <v>0.25</v>
      </c>
      <c r="O61" s="347" t="s">
        <v>144</v>
      </c>
      <c r="P61" s="347" t="s">
        <v>237</v>
      </c>
      <c r="Q61" s="347" t="s">
        <v>135</v>
      </c>
      <c r="R61" s="347" t="s">
        <v>245</v>
      </c>
      <c r="S61" s="289">
        <f t="shared" si="1"/>
        <v>0.5</v>
      </c>
      <c r="T61" s="289">
        <f>IF($L61='11 FORMULAS'!$D$51,$C$8-($C$8*$S$8),$C$8)</f>
        <v>0.36</v>
      </c>
      <c r="U61" s="289" t="str">
        <f>IF($L61='11 FORMULAS'!$D$53,$D$57-($D$57*$S$57),$D$57)</f>
        <v/>
      </c>
      <c r="V61" s="533"/>
      <c r="W61" s="537"/>
      <c r="X61" s="38"/>
      <c r="Y61" s="285"/>
      <c r="Z61" s="286"/>
      <c r="AA61" s="286"/>
    </row>
    <row r="62" spans="1:27" ht="29.25" hidden="1" customHeight="1" thickBot="1" x14ac:dyDescent="0.3">
      <c r="A62" s="514"/>
      <c r="B62" s="518"/>
      <c r="C62" s="521"/>
      <c r="D62" s="525"/>
      <c r="E62" s="348">
        <v>6</v>
      </c>
      <c r="F62" s="319"/>
      <c r="G62" s="204"/>
      <c r="H62" s="204"/>
      <c r="I62" s="280" t="str">
        <f t="shared" si="0"/>
        <v xml:space="preserve">  </v>
      </c>
      <c r="J62" s="203" t="s">
        <v>131</v>
      </c>
      <c r="K62" s="289">
        <f>+IFERROR(VLOOKUP($J62,'11 FORMULAS'!$B$51:$C$53,2,0),"")</f>
        <v>0.25</v>
      </c>
      <c r="L62" s="289" t="str">
        <f>+IFERROR(VLOOKUP($J62,'11 FORMULAS'!$B$51:$D$53,3,0),"")</f>
        <v>Probabilidad</v>
      </c>
      <c r="M62" s="345" t="s">
        <v>132</v>
      </c>
      <c r="N62" s="346">
        <f>+IFERROR(VLOOKUP($M62,'11 FORMULAS'!$B$54:$C$55,2,0),"")</f>
        <v>0.25</v>
      </c>
      <c r="O62" s="347" t="s">
        <v>144</v>
      </c>
      <c r="P62" s="347" t="s">
        <v>237</v>
      </c>
      <c r="Q62" s="347" t="s">
        <v>135</v>
      </c>
      <c r="R62" s="347" t="s">
        <v>245</v>
      </c>
      <c r="S62" s="289">
        <f t="shared" si="1"/>
        <v>0.5</v>
      </c>
      <c r="T62" s="289">
        <f>IF($L62='11 FORMULAS'!$D$51,$C$8-($C$8*$S$8),$C$8)</f>
        <v>0.36</v>
      </c>
      <c r="U62" s="289" t="str">
        <f>IF($L62='11 FORMULAS'!$D$53,$D$57-($D$57*$S$57),$D$57)</f>
        <v/>
      </c>
      <c r="V62" s="535"/>
      <c r="W62" s="538"/>
      <c r="X62" s="38"/>
    </row>
    <row r="63" spans="1:27" ht="28.5" hidden="1" customHeight="1" x14ac:dyDescent="0.25">
      <c r="A63" s="511" t="e">
        <f>'2 CONTEXTO E IDENTIFICACIÓN'!#REF!</f>
        <v>#REF!</v>
      </c>
      <c r="B63" s="515" t="e">
        <f>+'2 CONTEXTO E IDENTIFICACIÓN'!#REF!</f>
        <v>#REF!</v>
      </c>
      <c r="C63" s="519" t="str">
        <f>+'3 PROBABIL E IMPACTO INHERENTE'!E18</f>
        <v/>
      </c>
      <c r="D63" s="522" t="str">
        <f>+'3 PROBABIL E IMPACTO INHERENTE'!M18</f>
        <v/>
      </c>
      <c r="E63" s="349">
        <v>1</v>
      </c>
      <c r="F63" s="318"/>
      <c r="G63" s="49"/>
      <c r="H63" s="49"/>
      <c r="I63" s="280" t="str">
        <f t="shared" si="0"/>
        <v xml:space="preserve">  </v>
      </c>
      <c r="J63" s="203" t="s">
        <v>131</v>
      </c>
      <c r="K63" s="289">
        <f>+IFERROR(VLOOKUP($J63,'11 FORMULAS'!$B$51:$C$53,2,0),"")</f>
        <v>0.25</v>
      </c>
      <c r="L63" s="289" t="str">
        <f>+IFERROR(VLOOKUP($J63,'11 FORMULAS'!$B$51:$D$53,3,0),"")</f>
        <v>Probabilidad</v>
      </c>
      <c r="M63" s="345" t="s">
        <v>132</v>
      </c>
      <c r="N63" s="346">
        <f>+IFERROR(VLOOKUP($M63,'11 FORMULAS'!$B$54:$C$55,2,0),"")</f>
        <v>0.25</v>
      </c>
      <c r="O63" s="347" t="s">
        <v>144</v>
      </c>
      <c r="P63" s="347" t="s">
        <v>237</v>
      </c>
      <c r="Q63" s="347" t="s">
        <v>135</v>
      </c>
      <c r="R63" s="347" t="s">
        <v>245</v>
      </c>
      <c r="S63" s="289">
        <f t="shared" si="1"/>
        <v>0.5</v>
      </c>
      <c r="T63" s="289">
        <f>IF($L63='11 FORMULAS'!$D$51,$C$8-($C$8*$S$8),$C$8)</f>
        <v>0.36</v>
      </c>
      <c r="U63" s="289" t="str">
        <f>IF($L63='11 FORMULAS'!$D$53,$D$63-($D$63*$S$63),$D$63)</f>
        <v/>
      </c>
      <c r="V63" s="534">
        <f>+IF(T68="","",T68)</f>
        <v>0.36</v>
      </c>
      <c r="W63" s="536" t="str">
        <f>+IF(U68="","",U68)</f>
        <v/>
      </c>
      <c r="X63" s="38"/>
      <c r="Y63" s="285"/>
      <c r="Z63" s="286"/>
      <c r="AA63" s="286"/>
    </row>
    <row r="64" spans="1:27" ht="28.5" hidden="1" customHeight="1" x14ac:dyDescent="0.25">
      <c r="A64" s="513"/>
      <c r="B64" s="517"/>
      <c r="C64" s="491"/>
      <c r="D64" s="524"/>
      <c r="E64" s="344">
        <v>2</v>
      </c>
      <c r="F64" s="317"/>
      <c r="G64" s="203"/>
      <c r="H64" s="203"/>
      <c r="I64" s="280" t="str">
        <f t="shared" si="0"/>
        <v xml:space="preserve">  </v>
      </c>
      <c r="J64" s="203" t="s">
        <v>131</v>
      </c>
      <c r="K64" s="289">
        <f>+IFERROR(VLOOKUP($J64,'11 FORMULAS'!$B$51:$C$53,2,0),"")</f>
        <v>0.25</v>
      </c>
      <c r="L64" s="289" t="str">
        <f>+IFERROR(VLOOKUP($J64,'11 FORMULAS'!$B$51:$D$53,3,0),"")</f>
        <v>Probabilidad</v>
      </c>
      <c r="M64" s="345" t="s">
        <v>132</v>
      </c>
      <c r="N64" s="346">
        <f>+IFERROR(VLOOKUP($M64,'11 FORMULAS'!$B$54:$C$55,2,0),"")</f>
        <v>0.25</v>
      </c>
      <c r="O64" s="347" t="s">
        <v>144</v>
      </c>
      <c r="P64" s="347" t="s">
        <v>237</v>
      </c>
      <c r="Q64" s="347" t="s">
        <v>135</v>
      </c>
      <c r="R64" s="347" t="s">
        <v>245</v>
      </c>
      <c r="S64" s="289">
        <f t="shared" si="1"/>
        <v>0.5</v>
      </c>
      <c r="T64" s="289">
        <f>IF($L64='11 FORMULAS'!$D$51,$C$8-($C$8*$S$8),$C$8)</f>
        <v>0.36</v>
      </c>
      <c r="U64" s="289" t="str">
        <f>IF($L64='11 FORMULAS'!$D$53,$D$63-($D$63*$S$63),$D$63)</f>
        <v/>
      </c>
      <c r="V64" s="533"/>
      <c r="W64" s="537"/>
      <c r="X64" s="38"/>
      <c r="Y64" s="285"/>
      <c r="Z64" s="286"/>
      <c r="AA64" s="286"/>
    </row>
    <row r="65" spans="1:27" ht="28.5" hidden="1" customHeight="1" x14ac:dyDescent="0.25">
      <c r="A65" s="513"/>
      <c r="B65" s="517"/>
      <c r="C65" s="491"/>
      <c r="D65" s="524"/>
      <c r="E65" s="344">
        <v>3</v>
      </c>
      <c r="F65" s="317"/>
      <c r="G65" s="203"/>
      <c r="H65" s="203"/>
      <c r="I65" s="280" t="str">
        <f t="shared" si="0"/>
        <v xml:space="preserve">  </v>
      </c>
      <c r="J65" s="203" t="s">
        <v>131</v>
      </c>
      <c r="K65" s="289">
        <f>+IFERROR(VLOOKUP($J65,'11 FORMULAS'!$B$51:$C$53,2,0),"")</f>
        <v>0.25</v>
      </c>
      <c r="L65" s="289" t="str">
        <f>+IFERROR(VLOOKUP($J65,'11 FORMULAS'!$B$51:$D$53,3,0),"")</f>
        <v>Probabilidad</v>
      </c>
      <c r="M65" s="345" t="s">
        <v>132</v>
      </c>
      <c r="N65" s="346">
        <f>+IFERROR(VLOOKUP($M65,'11 FORMULAS'!$B$54:$C$55,2,0),"")</f>
        <v>0.25</v>
      </c>
      <c r="O65" s="347" t="s">
        <v>144</v>
      </c>
      <c r="P65" s="347" t="s">
        <v>237</v>
      </c>
      <c r="Q65" s="347" t="s">
        <v>135</v>
      </c>
      <c r="R65" s="347" t="s">
        <v>245</v>
      </c>
      <c r="S65" s="289">
        <f t="shared" si="1"/>
        <v>0.5</v>
      </c>
      <c r="T65" s="289">
        <f>IF($L65='11 FORMULAS'!$D$51,$C$8-($C$8*$S$8),$C$8)</f>
        <v>0.36</v>
      </c>
      <c r="U65" s="289" t="str">
        <f>IF($L65='11 FORMULAS'!$D$53,$D$63-($D$63*$S$63),$D$63)</f>
        <v/>
      </c>
      <c r="V65" s="533"/>
      <c r="W65" s="537"/>
      <c r="X65" s="38"/>
      <c r="Y65" s="285"/>
      <c r="Z65" s="286"/>
      <c r="AA65" s="286"/>
    </row>
    <row r="66" spans="1:27" ht="28.5" hidden="1" customHeight="1" x14ac:dyDescent="0.25">
      <c r="A66" s="513"/>
      <c r="B66" s="517"/>
      <c r="C66" s="491"/>
      <c r="D66" s="524"/>
      <c r="E66" s="344">
        <v>4</v>
      </c>
      <c r="F66" s="317"/>
      <c r="G66" s="203"/>
      <c r="H66" s="203"/>
      <c r="I66" s="280" t="str">
        <f t="shared" si="0"/>
        <v xml:space="preserve">  </v>
      </c>
      <c r="J66" s="203" t="s">
        <v>131</v>
      </c>
      <c r="K66" s="289">
        <f>+IFERROR(VLOOKUP($J66,'11 FORMULAS'!$B$51:$C$53,2,0),"")</f>
        <v>0.25</v>
      </c>
      <c r="L66" s="289" t="str">
        <f>+IFERROR(VLOOKUP($J66,'11 FORMULAS'!$B$51:$D$53,3,0),"")</f>
        <v>Probabilidad</v>
      </c>
      <c r="M66" s="345" t="s">
        <v>132</v>
      </c>
      <c r="N66" s="346">
        <f>+IFERROR(VLOOKUP($M66,'11 FORMULAS'!$B$54:$C$55,2,0),"")</f>
        <v>0.25</v>
      </c>
      <c r="O66" s="347" t="s">
        <v>144</v>
      </c>
      <c r="P66" s="347" t="s">
        <v>237</v>
      </c>
      <c r="Q66" s="347" t="s">
        <v>135</v>
      </c>
      <c r="R66" s="347" t="s">
        <v>245</v>
      </c>
      <c r="S66" s="289">
        <f t="shared" si="1"/>
        <v>0.5</v>
      </c>
      <c r="T66" s="289">
        <f>IF($L66='11 FORMULAS'!$D$51,$C$8-($C$8*$S$8),$C$8)</f>
        <v>0.36</v>
      </c>
      <c r="U66" s="289" t="str">
        <f>IF($L66='11 FORMULAS'!$D$53,$D$63-($D$63*$S$63),$D$63)</f>
        <v/>
      </c>
      <c r="V66" s="533"/>
      <c r="W66" s="537"/>
      <c r="X66" s="38"/>
      <c r="Y66" s="285"/>
      <c r="Z66" s="286"/>
      <c r="AA66" s="286"/>
    </row>
    <row r="67" spans="1:27" ht="28.5" hidden="1" customHeight="1" x14ac:dyDescent="0.25">
      <c r="A67" s="513"/>
      <c r="B67" s="517"/>
      <c r="C67" s="491"/>
      <c r="D67" s="524"/>
      <c r="E67" s="344">
        <v>5</v>
      </c>
      <c r="F67" s="317"/>
      <c r="G67" s="203"/>
      <c r="H67" s="203"/>
      <c r="I67" s="280" t="str">
        <f t="shared" si="0"/>
        <v xml:space="preserve">  </v>
      </c>
      <c r="J67" s="203" t="s">
        <v>131</v>
      </c>
      <c r="K67" s="289">
        <f>+IFERROR(VLOOKUP($J67,'11 FORMULAS'!$B$51:$C$53,2,0),"")</f>
        <v>0.25</v>
      </c>
      <c r="L67" s="289" t="str">
        <f>+IFERROR(VLOOKUP($J67,'11 FORMULAS'!$B$51:$D$53,3,0),"")</f>
        <v>Probabilidad</v>
      </c>
      <c r="M67" s="345" t="s">
        <v>132</v>
      </c>
      <c r="N67" s="346">
        <f>+IFERROR(VLOOKUP($M67,'11 FORMULAS'!$B$54:$C$55,2,0),"")</f>
        <v>0.25</v>
      </c>
      <c r="O67" s="347" t="s">
        <v>144</v>
      </c>
      <c r="P67" s="347" t="s">
        <v>237</v>
      </c>
      <c r="Q67" s="347" t="s">
        <v>135</v>
      </c>
      <c r="R67" s="347" t="s">
        <v>245</v>
      </c>
      <c r="S67" s="289">
        <f t="shared" si="1"/>
        <v>0.5</v>
      </c>
      <c r="T67" s="289">
        <f>IF($L67='11 FORMULAS'!$D$51,$C$8-($C$8*$S$8),$C$8)</f>
        <v>0.36</v>
      </c>
      <c r="U67" s="289" t="str">
        <f>IF($L67='11 FORMULAS'!$D$53,$D$63-($D$63*$S$63),$D$63)</f>
        <v/>
      </c>
      <c r="V67" s="533"/>
      <c r="W67" s="537"/>
      <c r="X67" s="38"/>
      <c r="Y67" s="285"/>
      <c r="Z67" s="286"/>
      <c r="AA67" s="286"/>
    </row>
    <row r="68" spans="1:27" ht="29.25" hidden="1" customHeight="1" thickBot="1" x14ac:dyDescent="0.3">
      <c r="A68" s="514"/>
      <c r="B68" s="518"/>
      <c r="C68" s="521"/>
      <c r="D68" s="525"/>
      <c r="E68" s="348">
        <v>6</v>
      </c>
      <c r="F68" s="319"/>
      <c r="G68" s="204"/>
      <c r="H68" s="204"/>
      <c r="I68" s="280" t="str">
        <f t="shared" si="0"/>
        <v xml:space="preserve">  </v>
      </c>
      <c r="J68" s="203" t="s">
        <v>131</v>
      </c>
      <c r="K68" s="289">
        <f>+IFERROR(VLOOKUP($J68,'11 FORMULAS'!$B$51:$C$53,2,0),"")</f>
        <v>0.25</v>
      </c>
      <c r="L68" s="289" t="str">
        <f>+IFERROR(VLOOKUP($J68,'11 FORMULAS'!$B$51:$D$53,3,0),"")</f>
        <v>Probabilidad</v>
      </c>
      <c r="M68" s="345" t="s">
        <v>132</v>
      </c>
      <c r="N68" s="346">
        <f>+IFERROR(VLOOKUP($M68,'11 FORMULAS'!$B$54:$C$55,2,0),"")</f>
        <v>0.25</v>
      </c>
      <c r="O68" s="347" t="s">
        <v>144</v>
      </c>
      <c r="P68" s="347" t="s">
        <v>237</v>
      </c>
      <c r="Q68" s="347" t="s">
        <v>135</v>
      </c>
      <c r="R68" s="347" t="s">
        <v>245</v>
      </c>
      <c r="S68" s="289">
        <f t="shared" si="1"/>
        <v>0.5</v>
      </c>
      <c r="T68" s="289">
        <f>IF($L68='11 FORMULAS'!$D$51,$C$8-($C$8*$S$8),$C$8)</f>
        <v>0.36</v>
      </c>
      <c r="U68" s="289" t="str">
        <f>IF($L68='11 FORMULAS'!$D$53,$D$63-($D$63*$S$63),$D$63)</f>
        <v/>
      </c>
      <c r="V68" s="535"/>
      <c r="W68" s="538"/>
      <c r="X68" s="38"/>
    </row>
    <row r="69" spans="1:27" ht="28.5" hidden="1" customHeight="1" x14ac:dyDescent="0.25">
      <c r="A69" s="511" t="e">
        <f>'2 CONTEXTO E IDENTIFICACIÓN'!#REF!</f>
        <v>#REF!</v>
      </c>
      <c r="B69" s="515" t="e">
        <f>+'2 CONTEXTO E IDENTIFICACIÓN'!#REF!</f>
        <v>#REF!</v>
      </c>
      <c r="C69" s="519" t="str">
        <f>+'3 PROBABIL E IMPACTO INHERENTE'!E19</f>
        <v/>
      </c>
      <c r="D69" s="522" t="str">
        <f>+'3 PROBABIL E IMPACTO INHERENTE'!M19</f>
        <v/>
      </c>
      <c r="E69" s="349">
        <v>1</v>
      </c>
      <c r="F69" s="318"/>
      <c r="G69" s="49"/>
      <c r="H69" s="49"/>
      <c r="I69" s="280" t="str">
        <f t="shared" si="0"/>
        <v xml:space="preserve">  </v>
      </c>
      <c r="J69" s="203" t="s">
        <v>131</v>
      </c>
      <c r="K69" s="289">
        <f>+IFERROR(VLOOKUP($J69,'11 FORMULAS'!$B$51:$C$53,2,0),"")</f>
        <v>0.25</v>
      </c>
      <c r="L69" s="289" t="str">
        <f>+IFERROR(VLOOKUP($J69,'11 FORMULAS'!$B$51:$D$53,3,0),"")</f>
        <v>Probabilidad</v>
      </c>
      <c r="M69" s="345" t="s">
        <v>132</v>
      </c>
      <c r="N69" s="346">
        <f>+IFERROR(VLOOKUP($M69,'11 FORMULAS'!$B$54:$C$55,2,0),"")</f>
        <v>0.25</v>
      </c>
      <c r="O69" s="347" t="s">
        <v>144</v>
      </c>
      <c r="P69" s="347" t="s">
        <v>237</v>
      </c>
      <c r="Q69" s="347" t="s">
        <v>135</v>
      </c>
      <c r="R69" s="347" t="s">
        <v>245</v>
      </c>
      <c r="S69" s="289">
        <f t="shared" si="1"/>
        <v>0.5</v>
      </c>
      <c r="T69" s="289">
        <f>IF($L69='11 FORMULAS'!$D$51,$C$8-($C$8*$S$8),$C$8)</f>
        <v>0.36</v>
      </c>
      <c r="U69" s="289" t="str">
        <f>IF($L69='11 FORMULAS'!$D$53,$D$69-($D$69*$S$69),$D$69)</f>
        <v/>
      </c>
      <c r="V69" s="534">
        <f>+IF(T74="","",T74)</f>
        <v>0.36</v>
      </c>
      <c r="W69" s="536" t="str">
        <f>+IF(U74="","",U74)</f>
        <v/>
      </c>
      <c r="X69" s="38"/>
      <c r="Y69" s="285"/>
      <c r="Z69" s="286"/>
      <c r="AA69" s="286"/>
    </row>
    <row r="70" spans="1:27" ht="28.5" hidden="1" customHeight="1" x14ac:dyDescent="0.25">
      <c r="A70" s="512"/>
      <c r="B70" s="516"/>
      <c r="C70" s="520"/>
      <c r="D70" s="523"/>
      <c r="E70" s="344">
        <v>2</v>
      </c>
      <c r="F70" s="316"/>
      <c r="G70" s="314"/>
      <c r="H70" s="314"/>
      <c r="I70" s="280" t="str">
        <f t="shared" si="0"/>
        <v xml:space="preserve">  </v>
      </c>
      <c r="J70" s="203" t="s">
        <v>131</v>
      </c>
      <c r="K70" s="289">
        <f>+IFERROR(VLOOKUP($J70,'11 FORMULAS'!$B$51:$C$53,2,0),"")</f>
        <v>0.25</v>
      </c>
      <c r="L70" s="289" t="str">
        <f>+IFERROR(VLOOKUP($J70,'11 FORMULAS'!$B$51:$D$53,3,0),"")</f>
        <v>Probabilidad</v>
      </c>
      <c r="M70" s="345" t="s">
        <v>132</v>
      </c>
      <c r="N70" s="346">
        <f>+IFERROR(VLOOKUP($M70,'11 FORMULAS'!$B$54:$C$55,2,0),"")</f>
        <v>0.25</v>
      </c>
      <c r="O70" s="347" t="s">
        <v>144</v>
      </c>
      <c r="P70" s="347" t="s">
        <v>237</v>
      </c>
      <c r="Q70" s="347" t="s">
        <v>135</v>
      </c>
      <c r="R70" s="347" t="s">
        <v>245</v>
      </c>
      <c r="S70" s="289">
        <f t="shared" si="1"/>
        <v>0.5</v>
      </c>
      <c r="T70" s="289">
        <f>IF($L70='11 FORMULAS'!$D$51,$C$8-($C$8*$S$8),$C$8)</f>
        <v>0.36</v>
      </c>
      <c r="U70" s="289" t="str">
        <f>IF($L70='11 FORMULAS'!$D$53,$D$69-($D$69*$S$69),$D$69)</f>
        <v/>
      </c>
      <c r="V70" s="539"/>
      <c r="W70" s="540"/>
      <c r="X70" s="38"/>
      <c r="Y70" s="285"/>
      <c r="Z70" s="286"/>
      <c r="AA70" s="286"/>
    </row>
    <row r="71" spans="1:27" ht="28.5" hidden="1" customHeight="1" x14ac:dyDescent="0.25">
      <c r="A71" s="512"/>
      <c r="B71" s="516"/>
      <c r="C71" s="520"/>
      <c r="D71" s="523"/>
      <c r="E71" s="344">
        <v>3</v>
      </c>
      <c r="F71" s="316"/>
      <c r="G71" s="314"/>
      <c r="H71" s="314"/>
      <c r="I71" s="280" t="str">
        <f t="shared" si="0"/>
        <v xml:space="preserve">  </v>
      </c>
      <c r="J71" s="203" t="s">
        <v>131</v>
      </c>
      <c r="K71" s="289">
        <f>+IFERROR(VLOOKUP($J71,'11 FORMULAS'!$B$51:$C$53,2,0),"")</f>
        <v>0.25</v>
      </c>
      <c r="L71" s="289" t="str">
        <f>+IFERROR(VLOOKUP($J71,'11 FORMULAS'!$B$51:$D$53,3,0),"")</f>
        <v>Probabilidad</v>
      </c>
      <c r="M71" s="345" t="s">
        <v>132</v>
      </c>
      <c r="N71" s="346">
        <f>+IFERROR(VLOOKUP($M71,'11 FORMULAS'!$B$54:$C$55,2,0),"")</f>
        <v>0.25</v>
      </c>
      <c r="O71" s="347" t="s">
        <v>144</v>
      </c>
      <c r="P71" s="347" t="s">
        <v>237</v>
      </c>
      <c r="Q71" s="347" t="s">
        <v>135</v>
      </c>
      <c r="R71" s="347" t="s">
        <v>245</v>
      </c>
      <c r="S71" s="289">
        <f t="shared" si="1"/>
        <v>0.5</v>
      </c>
      <c r="T71" s="289">
        <f>IF($L71='11 FORMULAS'!$D$51,$C$8-($C$8*$S$8),$C$8)</f>
        <v>0.36</v>
      </c>
      <c r="U71" s="289" t="str">
        <f>IF($L71='11 FORMULAS'!$D$53,$D$69-($D$69*$S$69),$D$69)</f>
        <v/>
      </c>
      <c r="V71" s="539"/>
      <c r="W71" s="540"/>
      <c r="X71" s="38"/>
      <c r="Y71" s="285"/>
      <c r="Z71" s="286"/>
      <c r="AA71" s="286"/>
    </row>
    <row r="72" spans="1:27" ht="28.5" hidden="1" customHeight="1" x14ac:dyDescent="0.25">
      <c r="A72" s="513"/>
      <c r="B72" s="517"/>
      <c r="C72" s="491"/>
      <c r="D72" s="524"/>
      <c r="E72" s="344">
        <v>4</v>
      </c>
      <c r="F72" s="317"/>
      <c r="G72" s="203"/>
      <c r="H72" s="203"/>
      <c r="I72" s="280" t="str">
        <f t="shared" si="0"/>
        <v xml:space="preserve">  </v>
      </c>
      <c r="J72" s="203" t="s">
        <v>131</v>
      </c>
      <c r="K72" s="289">
        <f>+IFERROR(VLOOKUP($J72,'11 FORMULAS'!$B$51:$C$53,2,0),"")</f>
        <v>0.25</v>
      </c>
      <c r="L72" s="289" t="str">
        <f>+IFERROR(VLOOKUP($J72,'11 FORMULAS'!$B$51:$D$53,3,0),"")</f>
        <v>Probabilidad</v>
      </c>
      <c r="M72" s="345" t="s">
        <v>132</v>
      </c>
      <c r="N72" s="346">
        <f>+IFERROR(VLOOKUP($M72,'11 FORMULAS'!$B$54:$C$55,2,0),"")</f>
        <v>0.25</v>
      </c>
      <c r="O72" s="347" t="s">
        <v>144</v>
      </c>
      <c r="P72" s="347" t="s">
        <v>237</v>
      </c>
      <c r="Q72" s="347" t="s">
        <v>135</v>
      </c>
      <c r="R72" s="347" t="s">
        <v>245</v>
      </c>
      <c r="S72" s="289">
        <f t="shared" si="1"/>
        <v>0.5</v>
      </c>
      <c r="T72" s="289">
        <f>IF($L72='11 FORMULAS'!$D$51,$C$8-($C$8*$S$8),$C$8)</f>
        <v>0.36</v>
      </c>
      <c r="U72" s="289" t="str">
        <f>IF($L72='11 FORMULAS'!$D$53,$D$69-($D$69*$S$69),$D$69)</f>
        <v/>
      </c>
      <c r="V72" s="533"/>
      <c r="W72" s="537"/>
      <c r="X72" s="38"/>
      <c r="Y72" s="285"/>
      <c r="Z72" s="286"/>
      <c r="AA72" s="286"/>
    </row>
    <row r="73" spans="1:27" ht="28.5" hidden="1" customHeight="1" x14ac:dyDescent="0.25">
      <c r="A73" s="513"/>
      <c r="B73" s="517"/>
      <c r="C73" s="491"/>
      <c r="D73" s="524"/>
      <c r="E73" s="344">
        <v>5</v>
      </c>
      <c r="F73" s="317"/>
      <c r="G73" s="203"/>
      <c r="H73" s="203"/>
      <c r="I73" s="280" t="str">
        <f t="shared" ref="I73:I128" si="3">+CONCATENATE(F73," ",G73," ",H73)</f>
        <v xml:space="preserve">  </v>
      </c>
      <c r="J73" s="203" t="s">
        <v>131</v>
      </c>
      <c r="K73" s="289">
        <f>+IFERROR(VLOOKUP($J73,'11 FORMULAS'!$B$51:$C$53,2,0),"")</f>
        <v>0.25</v>
      </c>
      <c r="L73" s="289" t="str">
        <f>+IFERROR(VLOOKUP($J73,'11 FORMULAS'!$B$51:$D$53,3,0),"")</f>
        <v>Probabilidad</v>
      </c>
      <c r="M73" s="345" t="s">
        <v>132</v>
      </c>
      <c r="N73" s="346">
        <f>+IFERROR(VLOOKUP($M73,'11 FORMULAS'!$B$54:$C$55,2,0),"")</f>
        <v>0.25</v>
      </c>
      <c r="O73" s="347" t="s">
        <v>144</v>
      </c>
      <c r="P73" s="347" t="s">
        <v>237</v>
      </c>
      <c r="Q73" s="347" t="s">
        <v>135</v>
      </c>
      <c r="R73" s="347" t="s">
        <v>245</v>
      </c>
      <c r="S73" s="289">
        <f t="shared" si="1"/>
        <v>0.5</v>
      </c>
      <c r="T73" s="289">
        <f>IF($L73='11 FORMULAS'!$D$51,$C$8-($C$8*$S$8),$C$8)</f>
        <v>0.36</v>
      </c>
      <c r="U73" s="289" t="str">
        <f>IF($L73='11 FORMULAS'!$D$53,$D$69-($D$69*$S$69),$D$69)</f>
        <v/>
      </c>
      <c r="V73" s="533"/>
      <c r="W73" s="537"/>
      <c r="X73" s="38"/>
      <c r="Y73" s="285"/>
      <c r="Z73" s="286"/>
      <c r="AA73" s="286"/>
    </row>
    <row r="74" spans="1:27" ht="29.25" hidden="1" customHeight="1" thickBot="1" x14ac:dyDescent="0.3">
      <c r="A74" s="514"/>
      <c r="B74" s="518"/>
      <c r="C74" s="521"/>
      <c r="D74" s="525"/>
      <c r="E74" s="348">
        <v>6</v>
      </c>
      <c r="F74" s="319"/>
      <c r="G74" s="204"/>
      <c r="H74" s="204"/>
      <c r="I74" s="280" t="str">
        <f t="shared" si="3"/>
        <v xml:space="preserve">  </v>
      </c>
      <c r="J74" s="203" t="s">
        <v>131</v>
      </c>
      <c r="K74" s="289">
        <f>+IFERROR(VLOOKUP($J74,'11 FORMULAS'!$B$51:$C$53,2,0),"")</f>
        <v>0.25</v>
      </c>
      <c r="L74" s="289" t="str">
        <f>+IFERROR(VLOOKUP($J74,'11 FORMULAS'!$B$51:$D$53,3,0),"")</f>
        <v>Probabilidad</v>
      </c>
      <c r="M74" s="345" t="s">
        <v>132</v>
      </c>
      <c r="N74" s="346">
        <f>+IFERROR(VLOOKUP($M74,'11 FORMULAS'!$B$54:$C$55,2,0),"")</f>
        <v>0.25</v>
      </c>
      <c r="O74" s="347" t="s">
        <v>144</v>
      </c>
      <c r="P74" s="347" t="s">
        <v>237</v>
      </c>
      <c r="Q74" s="347" t="s">
        <v>135</v>
      </c>
      <c r="R74" s="347" t="s">
        <v>245</v>
      </c>
      <c r="S74" s="289">
        <f t="shared" ref="S74:S128" si="4">+IFERROR($K74+$N74,"")</f>
        <v>0.5</v>
      </c>
      <c r="T74" s="289">
        <f>IF($L74='11 FORMULAS'!$D$51,$C$8-($C$8*$S$8),$C$8)</f>
        <v>0.36</v>
      </c>
      <c r="U74" s="289" t="str">
        <f>IF($L74='11 FORMULAS'!$D$53,$D$69-($D$69*$S$69),$D$69)</f>
        <v/>
      </c>
      <c r="V74" s="535"/>
      <c r="W74" s="538"/>
      <c r="X74" s="38"/>
    </row>
    <row r="75" spans="1:27" ht="28.5" hidden="1" customHeight="1" x14ac:dyDescent="0.25">
      <c r="A75" s="511" t="e">
        <f>'2 CONTEXTO E IDENTIFICACIÓN'!#REF!</f>
        <v>#REF!</v>
      </c>
      <c r="B75" s="515" t="e">
        <f>+'2 CONTEXTO E IDENTIFICACIÓN'!#REF!</f>
        <v>#REF!</v>
      </c>
      <c r="C75" s="519" t="str">
        <f>+'3 PROBABIL E IMPACTO INHERENTE'!E20</f>
        <v/>
      </c>
      <c r="D75" s="522" t="str">
        <f>+'3 PROBABIL E IMPACTO INHERENTE'!M20</f>
        <v/>
      </c>
      <c r="E75" s="349">
        <v>1</v>
      </c>
      <c r="F75" s="318"/>
      <c r="G75" s="49"/>
      <c r="H75" s="49"/>
      <c r="I75" s="280" t="str">
        <f t="shared" si="3"/>
        <v xml:space="preserve">  </v>
      </c>
      <c r="J75" s="203" t="s">
        <v>131</v>
      </c>
      <c r="K75" s="289">
        <f>+IFERROR(VLOOKUP($J75,'11 FORMULAS'!$B$51:$C$53,2,0),"")</f>
        <v>0.25</v>
      </c>
      <c r="L75" s="289" t="str">
        <f>+IFERROR(VLOOKUP($J75,'11 FORMULAS'!$B$51:$D$53,3,0),"")</f>
        <v>Probabilidad</v>
      </c>
      <c r="M75" s="345" t="s">
        <v>132</v>
      </c>
      <c r="N75" s="346">
        <f>+IFERROR(VLOOKUP($M75,'11 FORMULAS'!$B$54:$C$55,2,0),"")</f>
        <v>0.25</v>
      </c>
      <c r="O75" s="347" t="s">
        <v>144</v>
      </c>
      <c r="P75" s="347" t="s">
        <v>237</v>
      </c>
      <c r="Q75" s="347" t="s">
        <v>135</v>
      </c>
      <c r="R75" s="347" t="s">
        <v>245</v>
      </c>
      <c r="S75" s="289">
        <f t="shared" si="4"/>
        <v>0.5</v>
      </c>
      <c r="T75" s="289">
        <f>IF($L75='11 FORMULAS'!$D$51,$C$8-($C$8*$S$8),$C$8)</f>
        <v>0.36</v>
      </c>
      <c r="U75" s="289" t="str">
        <f>IF($L75='11 FORMULAS'!$D$53,$D$75-($D$75*$S$75),$D$75)</f>
        <v/>
      </c>
      <c r="V75" s="534">
        <f>+IF(T80="","",T80)</f>
        <v>0.36</v>
      </c>
      <c r="W75" s="536" t="str">
        <f>+IF(U80="","",U80)</f>
        <v/>
      </c>
      <c r="X75" s="38"/>
      <c r="Y75" s="285"/>
      <c r="Z75" s="286"/>
      <c r="AA75" s="286"/>
    </row>
    <row r="76" spans="1:27" ht="28.5" hidden="1" customHeight="1" x14ac:dyDescent="0.25">
      <c r="A76" s="513"/>
      <c r="B76" s="517"/>
      <c r="C76" s="491"/>
      <c r="D76" s="524"/>
      <c r="E76" s="344">
        <v>2</v>
      </c>
      <c r="F76" s="317"/>
      <c r="G76" s="203"/>
      <c r="H76" s="203"/>
      <c r="I76" s="280" t="str">
        <f t="shared" si="3"/>
        <v xml:space="preserve">  </v>
      </c>
      <c r="J76" s="203" t="s">
        <v>131</v>
      </c>
      <c r="K76" s="289">
        <f>+IFERROR(VLOOKUP($J76,'11 FORMULAS'!$B$51:$C$53,2,0),"")</f>
        <v>0.25</v>
      </c>
      <c r="L76" s="289" t="str">
        <f>+IFERROR(VLOOKUP($J76,'11 FORMULAS'!$B$51:$D$53,3,0),"")</f>
        <v>Probabilidad</v>
      </c>
      <c r="M76" s="345" t="s">
        <v>132</v>
      </c>
      <c r="N76" s="346">
        <f>+IFERROR(VLOOKUP($M76,'11 FORMULAS'!$B$54:$C$55,2,0),"")</f>
        <v>0.25</v>
      </c>
      <c r="O76" s="347" t="s">
        <v>144</v>
      </c>
      <c r="P76" s="347" t="s">
        <v>237</v>
      </c>
      <c r="Q76" s="347" t="s">
        <v>135</v>
      </c>
      <c r="R76" s="347" t="s">
        <v>245</v>
      </c>
      <c r="S76" s="289">
        <f t="shared" si="4"/>
        <v>0.5</v>
      </c>
      <c r="T76" s="289">
        <f>IF($L76='11 FORMULAS'!$D$51,$C$8-($C$8*$S$8),$C$8)</f>
        <v>0.36</v>
      </c>
      <c r="U76" s="289" t="str">
        <f>IF($L76='11 FORMULAS'!$D$53,$D$75-($D$75*$S$75),$D$75)</f>
        <v/>
      </c>
      <c r="V76" s="533"/>
      <c r="W76" s="537"/>
      <c r="X76" s="38"/>
      <c r="Y76" s="285"/>
      <c r="Z76" s="286"/>
      <c r="AA76" s="286"/>
    </row>
    <row r="77" spans="1:27" ht="28.5" hidden="1" customHeight="1" x14ac:dyDescent="0.25">
      <c r="A77" s="513"/>
      <c r="B77" s="517"/>
      <c r="C77" s="491"/>
      <c r="D77" s="524"/>
      <c r="E77" s="344">
        <v>3</v>
      </c>
      <c r="F77" s="317"/>
      <c r="G77" s="203"/>
      <c r="H77" s="203"/>
      <c r="I77" s="280" t="str">
        <f t="shared" si="3"/>
        <v xml:space="preserve">  </v>
      </c>
      <c r="J77" s="203" t="s">
        <v>131</v>
      </c>
      <c r="K77" s="289">
        <f>+IFERROR(VLOOKUP($J77,'11 FORMULAS'!$B$51:$C$53,2,0),"")</f>
        <v>0.25</v>
      </c>
      <c r="L77" s="289" t="str">
        <f>+IFERROR(VLOOKUP($J77,'11 FORMULAS'!$B$51:$D$53,3,0),"")</f>
        <v>Probabilidad</v>
      </c>
      <c r="M77" s="345" t="s">
        <v>132</v>
      </c>
      <c r="N77" s="346">
        <f>+IFERROR(VLOOKUP($M77,'11 FORMULAS'!$B$54:$C$55,2,0),"")</f>
        <v>0.25</v>
      </c>
      <c r="O77" s="347" t="s">
        <v>144</v>
      </c>
      <c r="P77" s="347" t="s">
        <v>237</v>
      </c>
      <c r="Q77" s="347" t="s">
        <v>135</v>
      </c>
      <c r="R77" s="347" t="s">
        <v>245</v>
      </c>
      <c r="S77" s="289">
        <f t="shared" si="4"/>
        <v>0.5</v>
      </c>
      <c r="T77" s="289">
        <f>IF($L77='11 FORMULAS'!$D$51,$C$8-($C$8*$S$8),$C$8)</f>
        <v>0.36</v>
      </c>
      <c r="U77" s="289" t="str">
        <f>IF($L77='11 FORMULAS'!$D$53,$D$75-($D$75*$S$75),$D$75)</f>
        <v/>
      </c>
      <c r="V77" s="533"/>
      <c r="W77" s="537"/>
      <c r="X77" s="38"/>
      <c r="Y77" s="285"/>
      <c r="Z77" s="286"/>
      <c r="AA77" s="286"/>
    </row>
    <row r="78" spans="1:27" ht="28.5" hidden="1" customHeight="1" x14ac:dyDescent="0.25">
      <c r="A78" s="513"/>
      <c r="B78" s="517"/>
      <c r="C78" s="491"/>
      <c r="D78" s="524"/>
      <c r="E78" s="344">
        <v>4</v>
      </c>
      <c r="F78" s="317"/>
      <c r="G78" s="203"/>
      <c r="H78" s="203"/>
      <c r="I78" s="280" t="str">
        <f t="shared" si="3"/>
        <v xml:space="preserve">  </v>
      </c>
      <c r="J78" s="203" t="s">
        <v>131</v>
      </c>
      <c r="K78" s="289">
        <f>+IFERROR(VLOOKUP($J78,'11 FORMULAS'!$B$51:$C$53,2,0),"")</f>
        <v>0.25</v>
      </c>
      <c r="L78" s="289" t="str">
        <f>+IFERROR(VLOOKUP($J78,'11 FORMULAS'!$B$51:$D$53,3,0),"")</f>
        <v>Probabilidad</v>
      </c>
      <c r="M78" s="345" t="s">
        <v>132</v>
      </c>
      <c r="N78" s="346">
        <f>+IFERROR(VLOOKUP($M78,'11 FORMULAS'!$B$54:$C$55,2,0),"")</f>
        <v>0.25</v>
      </c>
      <c r="O78" s="347" t="s">
        <v>144</v>
      </c>
      <c r="P78" s="347" t="s">
        <v>237</v>
      </c>
      <c r="Q78" s="347" t="s">
        <v>135</v>
      </c>
      <c r="R78" s="347" t="s">
        <v>245</v>
      </c>
      <c r="S78" s="289">
        <f t="shared" si="4"/>
        <v>0.5</v>
      </c>
      <c r="T78" s="289">
        <f>IF($L78='11 FORMULAS'!$D$51,$C$8-($C$8*$S$8),$C$8)</f>
        <v>0.36</v>
      </c>
      <c r="U78" s="289" t="str">
        <f>IF($L78='11 FORMULAS'!$D$53,$D$75-($D$75*$S$75),$D$75)</f>
        <v/>
      </c>
      <c r="V78" s="533"/>
      <c r="W78" s="537"/>
      <c r="X78" s="38"/>
      <c r="Y78" s="285"/>
      <c r="Z78" s="286"/>
      <c r="AA78" s="286"/>
    </row>
    <row r="79" spans="1:27" ht="28.5" hidden="1" customHeight="1" x14ac:dyDescent="0.25">
      <c r="A79" s="513"/>
      <c r="B79" s="517"/>
      <c r="C79" s="491"/>
      <c r="D79" s="524"/>
      <c r="E79" s="344">
        <v>5</v>
      </c>
      <c r="F79" s="317"/>
      <c r="G79" s="203"/>
      <c r="H79" s="203"/>
      <c r="I79" s="280" t="str">
        <f t="shared" si="3"/>
        <v xml:space="preserve">  </v>
      </c>
      <c r="J79" s="203" t="s">
        <v>131</v>
      </c>
      <c r="K79" s="289">
        <f>+IFERROR(VLOOKUP($J79,'11 FORMULAS'!$B$51:$C$53,2,0),"")</f>
        <v>0.25</v>
      </c>
      <c r="L79" s="289" t="str">
        <f>+IFERROR(VLOOKUP($J79,'11 FORMULAS'!$B$51:$D$53,3,0),"")</f>
        <v>Probabilidad</v>
      </c>
      <c r="M79" s="345" t="s">
        <v>132</v>
      </c>
      <c r="N79" s="346">
        <f>+IFERROR(VLOOKUP($M79,'11 FORMULAS'!$B$54:$C$55,2,0),"")</f>
        <v>0.25</v>
      </c>
      <c r="O79" s="347" t="s">
        <v>144</v>
      </c>
      <c r="P79" s="347" t="s">
        <v>237</v>
      </c>
      <c r="Q79" s="347" t="s">
        <v>135</v>
      </c>
      <c r="R79" s="347" t="s">
        <v>245</v>
      </c>
      <c r="S79" s="289">
        <f t="shared" si="4"/>
        <v>0.5</v>
      </c>
      <c r="T79" s="289">
        <f>IF($L79='11 FORMULAS'!$D$51,$C$8-($C$8*$S$8),$C$8)</f>
        <v>0.36</v>
      </c>
      <c r="U79" s="289" t="str">
        <f>IF($L79='11 FORMULAS'!$D$53,$D$75-($D$75*$S$75),$D$75)</f>
        <v/>
      </c>
      <c r="V79" s="533"/>
      <c r="W79" s="537"/>
      <c r="X79" s="38"/>
      <c r="Y79" s="285"/>
      <c r="Z79" s="286"/>
      <c r="AA79" s="286"/>
    </row>
    <row r="80" spans="1:27" ht="29.25" hidden="1" customHeight="1" thickBot="1" x14ac:dyDescent="0.3">
      <c r="A80" s="514"/>
      <c r="B80" s="518"/>
      <c r="C80" s="521"/>
      <c r="D80" s="525"/>
      <c r="E80" s="348">
        <v>6</v>
      </c>
      <c r="F80" s="319"/>
      <c r="G80" s="204"/>
      <c r="H80" s="204"/>
      <c r="I80" s="280" t="str">
        <f t="shared" si="3"/>
        <v xml:space="preserve">  </v>
      </c>
      <c r="J80" s="203" t="s">
        <v>131</v>
      </c>
      <c r="K80" s="289">
        <f>+IFERROR(VLOOKUP($J80,'11 FORMULAS'!$B$51:$C$53,2,0),"")</f>
        <v>0.25</v>
      </c>
      <c r="L80" s="289" t="str">
        <f>+IFERROR(VLOOKUP($J80,'11 FORMULAS'!$B$51:$D$53,3,0),"")</f>
        <v>Probabilidad</v>
      </c>
      <c r="M80" s="345" t="s">
        <v>132</v>
      </c>
      <c r="N80" s="346">
        <f>+IFERROR(VLOOKUP($M80,'11 FORMULAS'!$B$54:$C$55,2,0),"")</f>
        <v>0.25</v>
      </c>
      <c r="O80" s="347" t="s">
        <v>144</v>
      </c>
      <c r="P80" s="347" t="s">
        <v>237</v>
      </c>
      <c r="Q80" s="347" t="s">
        <v>135</v>
      </c>
      <c r="R80" s="347" t="s">
        <v>245</v>
      </c>
      <c r="S80" s="289">
        <f t="shared" si="4"/>
        <v>0.5</v>
      </c>
      <c r="T80" s="289">
        <f>IF($L80='11 FORMULAS'!$D$51,$C$8-($C$8*$S$8),$C$8)</f>
        <v>0.36</v>
      </c>
      <c r="U80" s="289" t="str">
        <f>IF($L80='11 FORMULAS'!$D$53,$D$75-($D$75*$S$75),$D$75)</f>
        <v/>
      </c>
      <c r="V80" s="535"/>
      <c r="W80" s="538"/>
      <c r="X80" s="38"/>
    </row>
    <row r="81" spans="1:27" ht="28.5" hidden="1" customHeight="1" x14ac:dyDescent="0.25">
      <c r="A81" s="511" t="e">
        <f>'2 CONTEXTO E IDENTIFICACIÓN'!#REF!</f>
        <v>#REF!</v>
      </c>
      <c r="B81" s="515" t="e">
        <f>+'2 CONTEXTO E IDENTIFICACIÓN'!#REF!</f>
        <v>#REF!</v>
      </c>
      <c r="C81" s="519" t="str">
        <f>+'3 PROBABIL E IMPACTO INHERENTE'!E21</f>
        <v/>
      </c>
      <c r="D81" s="522" t="str">
        <f>+'3 PROBABIL E IMPACTO INHERENTE'!M21</f>
        <v/>
      </c>
      <c r="E81" s="349">
        <v>1</v>
      </c>
      <c r="F81" s="318"/>
      <c r="G81" s="49"/>
      <c r="H81" s="49"/>
      <c r="I81" s="280" t="str">
        <f t="shared" si="3"/>
        <v xml:space="preserve">  </v>
      </c>
      <c r="J81" s="203" t="s">
        <v>131</v>
      </c>
      <c r="K81" s="289">
        <f>+IFERROR(VLOOKUP($J81,'11 FORMULAS'!$B$51:$C$53,2,0),"")</f>
        <v>0.25</v>
      </c>
      <c r="L81" s="289" t="str">
        <f>+IFERROR(VLOOKUP($J81,'11 FORMULAS'!$B$51:$D$53,3,0),"")</f>
        <v>Probabilidad</v>
      </c>
      <c r="M81" s="345" t="s">
        <v>132</v>
      </c>
      <c r="N81" s="346">
        <f>+IFERROR(VLOOKUP($M81,'11 FORMULAS'!$B$54:$C$55,2,0),"")</f>
        <v>0.25</v>
      </c>
      <c r="O81" s="347" t="s">
        <v>144</v>
      </c>
      <c r="P81" s="347" t="s">
        <v>237</v>
      </c>
      <c r="Q81" s="347" t="s">
        <v>135</v>
      </c>
      <c r="R81" s="347" t="s">
        <v>245</v>
      </c>
      <c r="S81" s="289">
        <f t="shared" si="4"/>
        <v>0.5</v>
      </c>
      <c r="T81" s="289">
        <f>IF($L81='11 FORMULAS'!$D$51,$C$8-($C$8*$S$8),$C$8)</f>
        <v>0.36</v>
      </c>
      <c r="U81" s="289" t="str">
        <f>IF($L81='11 FORMULAS'!$D$53,$D$81-($D$81*$S$81),$D$81)</f>
        <v/>
      </c>
      <c r="V81" s="534">
        <f>+IF(T86="","",T86)</f>
        <v>0.36</v>
      </c>
      <c r="W81" s="536" t="str">
        <f>+IF(U86="","",U86)</f>
        <v/>
      </c>
      <c r="X81" s="38"/>
      <c r="Y81" s="285"/>
      <c r="Z81" s="286"/>
      <c r="AA81" s="286"/>
    </row>
    <row r="82" spans="1:27" ht="28.5" hidden="1" customHeight="1" x14ac:dyDescent="0.25">
      <c r="A82" s="513"/>
      <c r="B82" s="517"/>
      <c r="C82" s="491"/>
      <c r="D82" s="524"/>
      <c r="E82" s="344">
        <v>2</v>
      </c>
      <c r="F82" s="317"/>
      <c r="G82" s="203"/>
      <c r="H82" s="203"/>
      <c r="I82" s="280" t="str">
        <f t="shared" si="3"/>
        <v xml:space="preserve">  </v>
      </c>
      <c r="J82" s="203" t="s">
        <v>131</v>
      </c>
      <c r="K82" s="289">
        <f>+IFERROR(VLOOKUP($J82,'11 FORMULAS'!$B$51:$C$53,2,0),"")</f>
        <v>0.25</v>
      </c>
      <c r="L82" s="289" t="str">
        <f>+IFERROR(VLOOKUP($J82,'11 FORMULAS'!$B$51:$D$53,3,0),"")</f>
        <v>Probabilidad</v>
      </c>
      <c r="M82" s="345" t="s">
        <v>132</v>
      </c>
      <c r="N82" s="346">
        <f>+IFERROR(VLOOKUP($M82,'11 FORMULAS'!$B$54:$C$55,2,0),"")</f>
        <v>0.25</v>
      </c>
      <c r="O82" s="347" t="s">
        <v>144</v>
      </c>
      <c r="P82" s="347" t="s">
        <v>237</v>
      </c>
      <c r="Q82" s="347" t="s">
        <v>135</v>
      </c>
      <c r="R82" s="347" t="s">
        <v>245</v>
      </c>
      <c r="S82" s="289">
        <f t="shared" si="4"/>
        <v>0.5</v>
      </c>
      <c r="T82" s="289">
        <f>IF($L82='11 FORMULAS'!$D$51,$C$8-($C$8*$S$8),$C$8)</f>
        <v>0.36</v>
      </c>
      <c r="U82" s="289" t="str">
        <f>IF($L82='11 FORMULAS'!$D$53,$D$81-($D$81*$S$81),$D$81)</f>
        <v/>
      </c>
      <c r="V82" s="533"/>
      <c r="W82" s="537"/>
      <c r="X82" s="38"/>
      <c r="Y82" s="285"/>
      <c r="Z82" s="286"/>
      <c r="AA82" s="286"/>
    </row>
    <row r="83" spans="1:27" ht="28.5" hidden="1" customHeight="1" x14ac:dyDescent="0.25">
      <c r="A83" s="513"/>
      <c r="B83" s="517"/>
      <c r="C83" s="491"/>
      <c r="D83" s="524"/>
      <c r="E83" s="344">
        <v>3</v>
      </c>
      <c r="F83" s="317"/>
      <c r="G83" s="203"/>
      <c r="H83" s="203"/>
      <c r="I83" s="280" t="str">
        <f t="shared" si="3"/>
        <v xml:space="preserve">  </v>
      </c>
      <c r="J83" s="203" t="s">
        <v>131</v>
      </c>
      <c r="K83" s="289">
        <f>+IFERROR(VLOOKUP($J83,'11 FORMULAS'!$B$51:$C$53,2,0),"")</f>
        <v>0.25</v>
      </c>
      <c r="L83" s="289" t="str">
        <f>+IFERROR(VLOOKUP($J83,'11 FORMULAS'!$B$51:$D$53,3,0),"")</f>
        <v>Probabilidad</v>
      </c>
      <c r="M83" s="345" t="s">
        <v>132</v>
      </c>
      <c r="N83" s="346">
        <f>+IFERROR(VLOOKUP($M83,'11 FORMULAS'!$B$54:$C$55,2,0),"")</f>
        <v>0.25</v>
      </c>
      <c r="O83" s="347" t="s">
        <v>144</v>
      </c>
      <c r="P83" s="347" t="s">
        <v>237</v>
      </c>
      <c r="Q83" s="347" t="s">
        <v>135</v>
      </c>
      <c r="R83" s="347" t="s">
        <v>245</v>
      </c>
      <c r="S83" s="289">
        <f t="shared" si="4"/>
        <v>0.5</v>
      </c>
      <c r="T83" s="289">
        <f>IF($L83='11 FORMULAS'!$D$51,$C$8-($C$8*$S$8),$C$8)</f>
        <v>0.36</v>
      </c>
      <c r="U83" s="289" t="str">
        <f>IF($L83='11 FORMULAS'!$D$53,$D$81-($D$81*$S$81),$D$81)</f>
        <v/>
      </c>
      <c r="V83" s="533"/>
      <c r="W83" s="537"/>
      <c r="X83" s="38"/>
      <c r="Y83" s="285"/>
      <c r="Z83" s="286"/>
      <c r="AA83" s="286"/>
    </row>
    <row r="84" spans="1:27" ht="28.5" hidden="1" customHeight="1" x14ac:dyDescent="0.25">
      <c r="A84" s="513"/>
      <c r="B84" s="517"/>
      <c r="C84" s="491"/>
      <c r="D84" s="524"/>
      <c r="E84" s="344">
        <v>4</v>
      </c>
      <c r="F84" s="317"/>
      <c r="G84" s="203"/>
      <c r="H84" s="203"/>
      <c r="I84" s="280" t="str">
        <f t="shared" si="3"/>
        <v xml:space="preserve">  </v>
      </c>
      <c r="J84" s="203" t="s">
        <v>131</v>
      </c>
      <c r="K84" s="289">
        <f>+IFERROR(VLOOKUP($J84,'11 FORMULAS'!$B$51:$C$53,2,0),"")</f>
        <v>0.25</v>
      </c>
      <c r="L84" s="289" t="str">
        <f>+IFERROR(VLOOKUP($J84,'11 FORMULAS'!$B$51:$D$53,3,0),"")</f>
        <v>Probabilidad</v>
      </c>
      <c r="M84" s="345" t="s">
        <v>132</v>
      </c>
      <c r="N84" s="346">
        <f>+IFERROR(VLOOKUP($M84,'11 FORMULAS'!$B$54:$C$55,2,0),"")</f>
        <v>0.25</v>
      </c>
      <c r="O84" s="347" t="s">
        <v>144</v>
      </c>
      <c r="P84" s="347" t="s">
        <v>237</v>
      </c>
      <c r="Q84" s="347" t="s">
        <v>135</v>
      </c>
      <c r="R84" s="347" t="s">
        <v>245</v>
      </c>
      <c r="S84" s="289">
        <f t="shared" si="4"/>
        <v>0.5</v>
      </c>
      <c r="T84" s="289">
        <f>IF($L84='11 FORMULAS'!$D$51,$C$8-($C$8*$S$8),$C$8)</f>
        <v>0.36</v>
      </c>
      <c r="U84" s="289" t="str">
        <f>IF($L84='11 FORMULAS'!$D$53,$D$81-($D$81*$S$81),$D$81)</f>
        <v/>
      </c>
      <c r="V84" s="533"/>
      <c r="W84" s="537"/>
      <c r="X84" s="38"/>
      <c r="Y84" s="285"/>
      <c r="Z84" s="286"/>
      <c r="AA84" s="286"/>
    </row>
    <row r="85" spans="1:27" ht="28.5" hidden="1" customHeight="1" x14ac:dyDescent="0.25">
      <c r="A85" s="513"/>
      <c r="B85" s="517"/>
      <c r="C85" s="491"/>
      <c r="D85" s="524"/>
      <c r="E85" s="344">
        <v>5</v>
      </c>
      <c r="F85" s="317"/>
      <c r="G85" s="203"/>
      <c r="H85" s="203"/>
      <c r="I85" s="280" t="str">
        <f t="shared" si="3"/>
        <v xml:space="preserve">  </v>
      </c>
      <c r="J85" s="203" t="s">
        <v>131</v>
      </c>
      <c r="K85" s="289">
        <f>+IFERROR(VLOOKUP($J85,'11 FORMULAS'!$B$51:$C$53,2,0),"")</f>
        <v>0.25</v>
      </c>
      <c r="L85" s="289" t="str">
        <f>+IFERROR(VLOOKUP($J85,'11 FORMULAS'!$B$51:$D$53,3,0),"")</f>
        <v>Probabilidad</v>
      </c>
      <c r="M85" s="345" t="s">
        <v>132</v>
      </c>
      <c r="N85" s="346">
        <f>+IFERROR(VLOOKUP($M85,'11 FORMULAS'!$B$54:$C$55,2,0),"")</f>
        <v>0.25</v>
      </c>
      <c r="O85" s="347" t="s">
        <v>144</v>
      </c>
      <c r="P85" s="347" t="s">
        <v>237</v>
      </c>
      <c r="Q85" s="347" t="s">
        <v>135</v>
      </c>
      <c r="R85" s="347" t="s">
        <v>245</v>
      </c>
      <c r="S85" s="289">
        <f t="shared" si="4"/>
        <v>0.5</v>
      </c>
      <c r="T85" s="289">
        <f>IF($L85='11 FORMULAS'!$D$51,$C$8-($C$8*$S$8),$C$8)</f>
        <v>0.36</v>
      </c>
      <c r="U85" s="289" t="str">
        <f>IF($L85='11 FORMULAS'!$D$53,$D$81-($D$81*$S$81),$D$81)</f>
        <v/>
      </c>
      <c r="V85" s="533"/>
      <c r="W85" s="537"/>
      <c r="X85" s="38"/>
      <c r="Y85" s="285"/>
      <c r="Z85" s="286"/>
      <c r="AA85" s="286"/>
    </row>
    <row r="86" spans="1:27" ht="29.25" hidden="1" customHeight="1" thickBot="1" x14ac:dyDescent="0.3">
      <c r="A86" s="514"/>
      <c r="B86" s="518"/>
      <c r="C86" s="521"/>
      <c r="D86" s="525"/>
      <c r="E86" s="348">
        <v>6</v>
      </c>
      <c r="F86" s="319"/>
      <c r="G86" s="204"/>
      <c r="H86" s="204"/>
      <c r="I86" s="280" t="str">
        <f t="shared" si="3"/>
        <v xml:space="preserve">  </v>
      </c>
      <c r="J86" s="203" t="s">
        <v>131</v>
      </c>
      <c r="K86" s="289">
        <f>+IFERROR(VLOOKUP($J86,'11 FORMULAS'!$B$51:$C$53,2,0),"")</f>
        <v>0.25</v>
      </c>
      <c r="L86" s="289" t="str">
        <f>+IFERROR(VLOOKUP($J86,'11 FORMULAS'!$B$51:$D$53,3,0),"")</f>
        <v>Probabilidad</v>
      </c>
      <c r="M86" s="345" t="s">
        <v>132</v>
      </c>
      <c r="N86" s="346">
        <f>+IFERROR(VLOOKUP($M86,'11 FORMULAS'!$B$54:$C$55,2,0),"")</f>
        <v>0.25</v>
      </c>
      <c r="O86" s="347" t="s">
        <v>144</v>
      </c>
      <c r="P86" s="347" t="s">
        <v>237</v>
      </c>
      <c r="Q86" s="347" t="s">
        <v>135</v>
      </c>
      <c r="R86" s="347" t="s">
        <v>245</v>
      </c>
      <c r="S86" s="289">
        <f t="shared" si="4"/>
        <v>0.5</v>
      </c>
      <c r="T86" s="289">
        <f>IF($L86='11 FORMULAS'!$D$51,$C$8-($C$8*$S$8),$C$8)</f>
        <v>0.36</v>
      </c>
      <c r="U86" s="289" t="str">
        <f>IF($L86='11 FORMULAS'!$D$53,$D$81-($D$81*$S$81),$D$81)</f>
        <v/>
      </c>
      <c r="V86" s="535"/>
      <c r="W86" s="538"/>
      <c r="X86" s="38"/>
    </row>
    <row r="87" spans="1:27" ht="28.5" hidden="1" customHeight="1" x14ac:dyDescent="0.25">
      <c r="A87" s="511" t="e">
        <f>'2 CONTEXTO E IDENTIFICACIÓN'!#REF!</f>
        <v>#REF!</v>
      </c>
      <c r="B87" s="515" t="e">
        <f>+'2 CONTEXTO E IDENTIFICACIÓN'!#REF!</f>
        <v>#REF!</v>
      </c>
      <c r="C87" s="519" t="str">
        <f>+'3 PROBABIL E IMPACTO INHERENTE'!E22</f>
        <v/>
      </c>
      <c r="D87" s="522" t="str">
        <f>+'3 PROBABIL E IMPACTO INHERENTE'!M22</f>
        <v/>
      </c>
      <c r="E87" s="349">
        <v>1</v>
      </c>
      <c r="F87" s="318"/>
      <c r="G87" s="49"/>
      <c r="H87" s="49"/>
      <c r="I87" s="280" t="str">
        <f t="shared" si="3"/>
        <v xml:space="preserve">  </v>
      </c>
      <c r="J87" s="203" t="s">
        <v>131</v>
      </c>
      <c r="K87" s="289">
        <f>+IFERROR(VLOOKUP($J87,'11 FORMULAS'!$B$51:$C$53,2,0),"")</f>
        <v>0.25</v>
      </c>
      <c r="L87" s="289" t="str">
        <f>+IFERROR(VLOOKUP($J87,'11 FORMULAS'!$B$51:$D$53,3,0),"")</f>
        <v>Probabilidad</v>
      </c>
      <c r="M87" s="345" t="s">
        <v>132</v>
      </c>
      <c r="N87" s="346">
        <f>+IFERROR(VLOOKUP($M87,'11 FORMULAS'!$B$54:$C$55,2,0),"")</f>
        <v>0.25</v>
      </c>
      <c r="O87" s="347" t="s">
        <v>144</v>
      </c>
      <c r="P87" s="347" t="s">
        <v>237</v>
      </c>
      <c r="Q87" s="347" t="s">
        <v>135</v>
      </c>
      <c r="R87" s="347" t="s">
        <v>245</v>
      </c>
      <c r="S87" s="289">
        <f t="shared" si="4"/>
        <v>0.5</v>
      </c>
      <c r="T87" s="289">
        <f>IF($L87='11 FORMULAS'!$D$51,$C$8-($C$8*$S$8),$C$8)</f>
        <v>0.36</v>
      </c>
      <c r="U87" s="289" t="str">
        <f>IF($L87='11 FORMULAS'!$D$53,$D$87-($D$87*$S$87),$D$87)</f>
        <v/>
      </c>
      <c r="V87" s="534">
        <f>+IF(T92="","",T92)</f>
        <v>0.36</v>
      </c>
      <c r="W87" s="536" t="str">
        <f>+IF(U92="","",U92)</f>
        <v/>
      </c>
      <c r="X87" s="38"/>
      <c r="Y87" s="285"/>
      <c r="Z87" s="286"/>
      <c r="AA87" s="286"/>
    </row>
    <row r="88" spans="1:27" ht="28.5" hidden="1" customHeight="1" x14ac:dyDescent="0.25">
      <c r="A88" s="513"/>
      <c r="B88" s="517"/>
      <c r="C88" s="491"/>
      <c r="D88" s="524"/>
      <c r="E88" s="344">
        <v>2</v>
      </c>
      <c r="F88" s="317"/>
      <c r="G88" s="203"/>
      <c r="H88" s="203"/>
      <c r="I88" s="280" t="str">
        <f t="shared" si="3"/>
        <v xml:space="preserve">  </v>
      </c>
      <c r="J88" s="203" t="s">
        <v>131</v>
      </c>
      <c r="K88" s="289">
        <f>+IFERROR(VLOOKUP($J88,'11 FORMULAS'!$B$51:$C$53,2,0),"")</f>
        <v>0.25</v>
      </c>
      <c r="L88" s="289" t="str">
        <f>+IFERROR(VLOOKUP($J88,'11 FORMULAS'!$B$51:$D$53,3,0),"")</f>
        <v>Probabilidad</v>
      </c>
      <c r="M88" s="345" t="s">
        <v>132</v>
      </c>
      <c r="N88" s="346">
        <f>+IFERROR(VLOOKUP($M88,'11 FORMULAS'!$B$54:$C$55,2,0),"")</f>
        <v>0.25</v>
      </c>
      <c r="O88" s="347" t="s">
        <v>144</v>
      </c>
      <c r="P88" s="347" t="s">
        <v>237</v>
      </c>
      <c r="Q88" s="347" t="s">
        <v>135</v>
      </c>
      <c r="R88" s="347" t="s">
        <v>245</v>
      </c>
      <c r="S88" s="289">
        <f t="shared" si="4"/>
        <v>0.5</v>
      </c>
      <c r="T88" s="289">
        <f>IF($L88='11 FORMULAS'!$D$51,$C$8-($C$8*$S$8),$C$8)</f>
        <v>0.36</v>
      </c>
      <c r="U88" s="289" t="str">
        <f>IF($L88='11 FORMULAS'!$D$53,$D$87-($D$87*$S$87),$D$87)</f>
        <v/>
      </c>
      <c r="V88" s="533"/>
      <c r="W88" s="537"/>
      <c r="X88" s="38"/>
      <c r="Y88" s="285"/>
      <c r="Z88" s="286"/>
      <c r="AA88" s="286"/>
    </row>
    <row r="89" spans="1:27" ht="28.5" hidden="1" customHeight="1" x14ac:dyDescent="0.25">
      <c r="A89" s="513"/>
      <c r="B89" s="517"/>
      <c r="C89" s="491"/>
      <c r="D89" s="524"/>
      <c r="E89" s="344">
        <v>3</v>
      </c>
      <c r="F89" s="317"/>
      <c r="G89" s="203"/>
      <c r="H89" s="203"/>
      <c r="I89" s="280" t="str">
        <f t="shared" si="3"/>
        <v xml:space="preserve">  </v>
      </c>
      <c r="J89" s="203" t="s">
        <v>131</v>
      </c>
      <c r="K89" s="289">
        <f>+IFERROR(VLOOKUP($J89,'11 FORMULAS'!$B$51:$C$53,2,0),"")</f>
        <v>0.25</v>
      </c>
      <c r="L89" s="289" t="str">
        <f>+IFERROR(VLOOKUP($J89,'11 FORMULAS'!$B$51:$D$53,3,0),"")</f>
        <v>Probabilidad</v>
      </c>
      <c r="M89" s="345" t="s">
        <v>143</v>
      </c>
      <c r="N89" s="346">
        <f>+IFERROR(VLOOKUP($M89,'11 FORMULAS'!$B$54:$C$55,2,0),"")</f>
        <v>0.15</v>
      </c>
      <c r="O89" s="347" t="s">
        <v>144</v>
      </c>
      <c r="P89" s="347" t="s">
        <v>239</v>
      </c>
      <c r="Q89" s="347" t="s">
        <v>146</v>
      </c>
      <c r="R89" s="347" t="s">
        <v>155</v>
      </c>
      <c r="S89" s="289">
        <f t="shared" si="4"/>
        <v>0.4</v>
      </c>
      <c r="T89" s="289">
        <f>IF($L89='11 FORMULAS'!$D$51,$C$8-($C$8*$S$8),$C$8)</f>
        <v>0.36</v>
      </c>
      <c r="U89" s="289" t="str">
        <f>IF($L89='11 FORMULAS'!$D$53,$D$87-($D$87*$S$87),$D$87)</f>
        <v/>
      </c>
      <c r="V89" s="533"/>
      <c r="W89" s="537"/>
      <c r="X89" s="38"/>
      <c r="Y89" s="285"/>
      <c r="Z89" s="286"/>
      <c r="AA89" s="286"/>
    </row>
    <row r="90" spans="1:27" ht="28.5" hidden="1" customHeight="1" x14ac:dyDescent="0.25">
      <c r="A90" s="513"/>
      <c r="B90" s="517"/>
      <c r="C90" s="491"/>
      <c r="D90" s="524"/>
      <c r="E90" s="344">
        <v>4</v>
      </c>
      <c r="F90" s="317"/>
      <c r="G90" s="203"/>
      <c r="H90" s="203"/>
      <c r="I90" s="280" t="str">
        <f t="shared" si="3"/>
        <v xml:space="preserve">  </v>
      </c>
      <c r="J90" s="203" t="s">
        <v>131</v>
      </c>
      <c r="K90" s="289">
        <f>+IFERROR(VLOOKUP($J90,'11 FORMULAS'!$B$51:$C$53,2,0),"")</f>
        <v>0.25</v>
      </c>
      <c r="L90" s="289" t="str">
        <f>+IFERROR(VLOOKUP($J90,'11 FORMULAS'!$B$51:$D$53,3,0),"")</f>
        <v>Probabilidad</v>
      </c>
      <c r="M90" s="345" t="s">
        <v>132</v>
      </c>
      <c r="N90" s="346">
        <f>+IFERROR(VLOOKUP($M90,'11 FORMULAS'!$B$54:$C$55,2,0),"")</f>
        <v>0.25</v>
      </c>
      <c r="O90" s="347" t="s">
        <v>144</v>
      </c>
      <c r="P90" s="347" t="s">
        <v>237</v>
      </c>
      <c r="Q90" s="347" t="s">
        <v>135</v>
      </c>
      <c r="R90" s="347" t="s">
        <v>245</v>
      </c>
      <c r="S90" s="289">
        <f t="shared" si="4"/>
        <v>0.5</v>
      </c>
      <c r="T90" s="289">
        <f>IF($L90='11 FORMULAS'!$D$51,$C$8-($C$8*$S$8),$C$8)</f>
        <v>0.36</v>
      </c>
      <c r="U90" s="289" t="str">
        <f>IF($L90='11 FORMULAS'!$D$53,$D$87-($D$87*$S$87),$D$87)</f>
        <v/>
      </c>
      <c r="V90" s="533"/>
      <c r="W90" s="537"/>
      <c r="X90" s="38"/>
      <c r="Y90" s="285"/>
      <c r="Z90" s="286"/>
      <c r="AA90" s="286"/>
    </row>
    <row r="91" spans="1:27" ht="28.5" hidden="1" customHeight="1" x14ac:dyDescent="0.25">
      <c r="A91" s="513"/>
      <c r="B91" s="517"/>
      <c r="C91" s="491"/>
      <c r="D91" s="524"/>
      <c r="E91" s="344">
        <v>5</v>
      </c>
      <c r="F91" s="317"/>
      <c r="G91" s="203"/>
      <c r="H91" s="203"/>
      <c r="I91" s="280" t="str">
        <f t="shared" si="3"/>
        <v xml:space="preserve">  </v>
      </c>
      <c r="J91" s="203" t="s">
        <v>131</v>
      </c>
      <c r="K91" s="289">
        <f>+IFERROR(VLOOKUP($J91,'11 FORMULAS'!$B$51:$C$53,2,0),"")</f>
        <v>0.25</v>
      </c>
      <c r="L91" s="289" t="str">
        <f>+IFERROR(VLOOKUP($J91,'11 FORMULAS'!$B$51:$D$53,3,0),"")</f>
        <v>Probabilidad</v>
      </c>
      <c r="M91" s="345" t="s">
        <v>132</v>
      </c>
      <c r="N91" s="346">
        <f>+IFERROR(VLOOKUP($M91,'11 FORMULAS'!$B$54:$C$55,2,0),"")</f>
        <v>0.25</v>
      </c>
      <c r="O91" s="347" t="s">
        <v>144</v>
      </c>
      <c r="P91" s="347" t="s">
        <v>237</v>
      </c>
      <c r="Q91" s="347" t="s">
        <v>135</v>
      </c>
      <c r="R91" s="347" t="s">
        <v>245</v>
      </c>
      <c r="S91" s="289">
        <f t="shared" si="4"/>
        <v>0.5</v>
      </c>
      <c r="T91" s="289">
        <f>IF($L91='11 FORMULAS'!$D$51,$C$8-($C$8*$S$8),$C$8)</f>
        <v>0.36</v>
      </c>
      <c r="U91" s="289" t="str">
        <f>IF($L91='11 FORMULAS'!$D$53,$D$87-($D$87*$S$87),$D$87)</f>
        <v/>
      </c>
      <c r="V91" s="533"/>
      <c r="W91" s="537"/>
      <c r="X91" s="38"/>
      <c r="Y91" s="285"/>
      <c r="Z91" s="286"/>
      <c r="AA91" s="286"/>
    </row>
    <row r="92" spans="1:27" ht="29.25" hidden="1" customHeight="1" thickBot="1" x14ac:dyDescent="0.3">
      <c r="A92" s="514"/>
      <c r="B92" s="518"/>
      <c r="C92" s="521"/>
      <c r="D92" s="525"/>
      <c r="E92" s="348">
        <v>6</v>
      </c>
      <c r="F92" s="319"/>
      <c r="G92" s="204"/>
      <c r="H92" s="204"/>
      <c r="I92" s="280" t="str">
        <f t="shared" si="3"/>
        <v xml:space="preserve">  </v>
      </c>
      <c r="J92" s="203" t="s">
        <v>131</v>
      </c>
      <c r="K92" s="289">
        <f>+IFERROR(VLOOKUP($J92,'11 FORMULAS'!$B$51:$C$53,2,0),"")</f>
        <v>0.25</v>
      </c>
      <c r="L92" s="289" t="str">
        <f>+IFERROR(VLOOKUP($J92,'11 FORMULAS'!$B$51:$D$53,3,0),"")</f>
        <v>Probabilidad</v>
      </c>
      <c r="M92" s="345" t="s">
        <v>132</v>
      </c>
      <c r="N92" s="346">
        <f>+IFERROR(VLOOKUP($M92,'11 FORMULAS'!$B$54:$C$55,2,0),"")</f>
        <v>0.25</v>
      </c>
      <c r="O92" s="347" t="s">
        <v>144</v>
      </c>
      <c r="P92" s="347" t="s">
        <v>237</v>
      </c>
      <c r="Q92" s="347" t="s">
        <v>135</v>
      </c>
      <c r="R92" s="347" t="s">
        <v>245</v>
      </c>
      <c r="S92" s="289">
        <f t="shared" si="4"/>
        <v>0.5</v>
      </c>
      <c r="T92" s="289">
        <f>IF($L92='11 FORMULAS'!$D$51,$C$8-($C$8*$S$8),$C$8)</f>
        <v>0.36</v>
      </c>
      <c r="U92" s="289" t="str">
        <f>IF($L92='11 FORMULAS'!$D$53,$D$87-($D$87*$S$87),$D$87)</f>
        <v/>
      </c>
      <c r="V92" s="535"/>
      <c r="W92" s="538"/>
      <c r="X92" s="38"/>
    </row>
    <row r="93" spans="1:27" ht="28.5" hidden="1" customHeight="1" x14ac:dyDescent="0.25">
      <c r="A93" s="511" t="e">
        <f>'2 CONTEXTO E IDENTIFICACIÓN'!#REF!</f>
        <v>#REF!</v>
      </c>
      <c r="B93" s="515" t="e">
        <f>+'2 CONTEXTO E IDENTIFICACIÓN'!#REF!</f>
        <v>#REF!</v>
      </c>
      <c r="C93" s="519" t="str">
        <f>+'3 PROBABIL E IMPACTO INHERENTE'!E23</f>
        <v/>
      </c>
      <c r="D93" s="522" t="str">
        <f>+'3 PROBABIL E IMPACTO INHERENTE'!M23</f>
        <v/>
      </c>
      <c r="E93" s="349">
        <v>1</v>
      </c>
      <c r="F93" s="318"/>
      <c r="G93" s="49"/>
      <c r="H93" s="49"/>
      <c r="I93" s="280" t="str">
        <f t="shared" si="3"/>
        <v xml:space="preserve">  </v>
      </c>
      <c r="J93" s="203" t="s">
        <v>131</v>
      </c>
      <c r="K93" s="289">
        <f>+IFERROR(VLOOKUP($J93,'11 FORMULAS'!$B$51:$C$53,2,0),"")</f>
        <v>0.25</v>
      </c>
      <c r="L93" s="289" t="str">
        <f>+IFERROR(VLOOKUP($J93,'11 FORMULAS'!$B$51:$D$53,3,0),"")</f>
        <v>Probabilidad</v>
      </c>
      <c r="M93" s="345" t="s">
        <v>132</v>
      </c>
      <c r="N93" s="346">
        <f>+IFERROR(VLOOKUP($M93,'11 FORMULAS'!$B$54:$C$55,2,0),"")</f>
        <v>0.25</v>
      </c>
      <c r="O93" s="347" t="s">
        <v>144</v>
      </c>
      <c r="P93" s="347" t="s">
        <v>237</v>
      </c>
      <c r="Q93" s="347" t="s">
        <v>135</v>
      </c>
      <c r="R93" s="347" t="s">
        <v>245</v>
      </c>
      <c r="S93" s="289">
        <f t="shared" si="4"/>
        <v>0.5</v>
      </c>
      <c r="T93" s="289">
        <f>IF($L93='11 FORMULAS'!$D$51,$C$8-($C$8*$S$8),$C$8)</f>
        <v>0.36</v>
      </c>
      <c r="U93" s="320" t="str">
        <f>IF($L93='11 FORMULAS'!$D$53,D93-(D93*S93),D93)</f>
        <v/>
      </c>
      <c r="V93" s="534">
        <f>+IF(T98="","",T98)</f>
        <v>0.36</v>
      </c>
      <c r="W93" s="536">
        <f>+IF(U98="","",U98)</f>
        <v>0</v>
      </c>
      <c r="X93" s="38"/>
      <c r="Y93" s="285"/>
      <c r="Z93" s="286"/>
      <c r="AA93" s="286"/>
    </row>
    <row r="94" spans="1:27" ht="28.5" hidden="1" customHeight="1" x14ac:dyDescent="0.25">
      <c r="A94" s="513"/>
      <c r="B94" s="517"/>
      <c r="C94" s="491"/>
      <c r="D94" s="524"/>
      <c r="E94" s="344">
        <v>2</v>
      </c>
      <c r="F94" s="317"/>
      <c r="G94" s="203"/>
      <c r="H94" s="203"/>
      <c r="I94" s="280" t="str">
        <f t="shared" si="3"/>
        <v xml:space="preserve">  </v>
      </c>
      <c r="J94" s="203" t="s">
        <v>131</v>
      </c>
      <c r="K94" s="289">
        <f>+IFERROR(VLOOKUP($J94,'11 FORMULAS'!$B$51:$C$53,2,0),"")</f>
        <v>0.25</v>
      </c>
      <c r="L94" s="289" t="str">
        <f>+IFERROR(VLOOKUP($J94,'11 FORMULAS'!$B$51:$D$53,3,0),"")</f>
        <v>Probabilidad</v>
      </c>
      <c r="M94" s="345" t="s">
        <v>132</v>
      </c>
      <c r="N94" s="346">
        <f>+IFERROR(VLOOKUP($M94,'11 FORMULAS'!$B$54:$C$55,2,0),"")</f>
        <v>0.25</v>
      </c>
      <c r="O94" s="347" t="s">
        <v>144</v>
      </c>
      <c r="P94" s="347" t="s">
        <v>237</v>
      </c>
      <c r="Q94" s="347" t="s">
        <v>135</v>
      </c>
      <c r="R94" s="347" t="s">
        <v>245</v>
      </c>
      <c r="S94" s="289">
        <f t="shared" si="4"/>
        <v>0.5</v>
      </c>
      <c r="T94" s="289">
        <f>IF($L94='11 FORMULAS'!$D$51,$C$8-($C$8*$S$8),$C$8)</f>
        <v>0.36</v>
      </c>
      <c r="U94" s="289">
        <f>IF($L94='11 FORMULAS'!$D$53,D94-(D94*S94),D94)</f>
        <v>0</v>
      </c>
      <c r="V94" s="533"/>
      <c r="W94" s="537"/>
      <c r="X94" s="38"/>
      <c r="Y94" s="285"/>
      <c r="Z94" s="286"/>
      <c r="AA94" s="286"/>
    </row>
    <row r="95" spans="1:27" ht="28.5" hidden="1" customHeight="1" x14ac:dyDescent="0.25">
      <c r="A95" s="513"/>
      <c r="B95" s="517"/>
      <c r="C95" s="491"/>
      <c r="D95" s="524"/>
      <c r="E95" s="344">
        <v>3</v>
      </c>
      <c r="F95" s="317"/>
      <c r="G95" s="203"/>
      <c r="H95" s="203"/>
      <c r="I95" s="280" t="str">
        <f t="shared" si="3"/>
        <v xml:space="preserve">  </v>
      </c>
      <c r="J95" s="203" t="s">
        <v>131</v>
      </c>
      <c r="K95" s="289">
        <f>+IFERROR(VLOOKUP($J95,'11 FORMULAS'!$B$51:$C$53,2,0),"")</f>
        <v>0.25</v>
      </c>
      <c r="L95" s="289" t="str">
        <f>+IFERROR(VLOOKUP($J95,'11 FORMULAS'!$B$51:$D$53,3,0),"")</f>
        <v>Probabilidad</v>
      </c>
      <c r="M95" s="345" t="s">
        <v>132</v>
      </c>
      <c r="N95" s="346">
        <f>+IFERROR(VLOOKUP($M95,'11 FORMULAS'!$B$54:$C$55,2,0),"")</f>
        <v>0.25</v>
      </c>
      <c r="O95" s="347" t="s">
        <v>144</v>
      </c>
      <c r="P95" s="347" t="s">
        <v>237</v>
      </c>
      <c r="Q95" s="347" t="s">
        <v>135</v>
      </c>
      <c r="R95" s="347" t="s">
        <v>245</v>
      </c>
      <c r="S95" s="289">
        <f t="shared" si="4"/>
        <v>0.5</v>
      </c>
      <c r="T95" s="289">
        <f>IF($L95='11 FORMULAS'!$D$51,$C$8-($C$8*$S$8),$C$8)</f>
        <v>0.36</v>
      </c>
      <c r="U95" s="289">
        <f>IF($L95='11 FORMULAS'!$D$53,D95-(D95*S95),D95)</f>
        <v>0</v>
      </c>
      <c r="V95" s="533"/>
      <c r="W95" s="537"/>
      <c r="X95" s="38"/>
      <c r="Y95" s="285"/>
      <c r="Z95" s="286"/>
      <c r="AA95" s="286"/>
    </row>
    <row r="96" spans="1:27" ht="28.5" hidden="1" customHeight="1" x14ac:dyDescent="0.25">
      <c r="A96" s="513"/>
      <c r="B96" s="517"/>
      <c r="C96" s="491"/>
      <c r="D96" s="524"/>
      <c r="E96" s="344">
        <v>4</v>
      </c>
      <c r="F96" s="317"/>
      <c r="G96" s="203"/>
      <c r="H96" s="203"/>
      <c r="I96" s="280" t="str">
        <f t="shared" si="3"/>
        <v xml:space="preserve">  </v>
      </c>
      <c r="J96" s="203" t="s">
        <v>131</v>
      </c>
      <c r="K96" s="289">
        <f>+IFERROR(VLOOKUP($J96,'11 FORMULAS'!$B$51:$C$53,2,0),"")</f>
        <v>0.25</v>
      </c>
      <c r="L96" s="289" t="str">
        <f>+IFERROR(VLOOKUP($J96,'11 FORMULAS'!$B$51:$D$53,3,0),"")</f>
        <v>Probabilidad</v>
      </c>
      <c r="M96" s="345" t="s">
        <v>132</v>
      </c>
      <c r="N96" s="346">
        <f>+IFERROR(VLOOKUP($M96,'11 FORMULAS'!$B$54:$C$55,2,0),"")</f>
        <v>0.25</v>
      </c>
      <c r="O96" s="347" t="s">
        <v>144</v>
      </c>
      <c r="P96" s="347" t="s">
        <v>237</v>
      </c>
      <c r="Q96" s="347" t="s">
        <v>135</v>
      </c>
      <c r="R96" s="347" t="s">
        <v>245</v>
      </c>
      <c r="S96" s="289">
        <f t="shared" si="4"/>
        <v>0.5</v>
      </c>
      <c r="T96" s="289">
        <f>IF($L96='11 FORMULAS'!$D$51,$C$8-($C$8*$S$8),$C$8)</f>
        <v>0.36</v>
      </c>
      <c r="U96" s="289">
        <f>IF($L96='11 FORMULAS'!$D$53,D96-(D96*S96),D96)</f>
        <v>0</v>
      </c>
      <c r="V96" s="533"/>
      <c r="W96" s="537"/>
      <c r="X96" s="38"/>
      <c r="Y96" s="285"/>
      <c r="Z96" s="286"/>
      <c r="AA96" s="286"/>
    </row>
    <row r="97" spans="1:27" ht="28.5" hidden="1" customHeight="1" x14ac:dyDescent="0.25">
      <c r="A97" s="513"/>
      <c r="B97" s="517"/>
      <c r="C97" s="491"/>
      <c r="D97" s="524"/>
      <c r="E97" s="344">
        <v>5</v>
      </c>
      <c r="F97" s="317"/>
      <c r="G97" s="203"/>
      <c r="H97" s="203"/>
      <c r="I97" s="280" t="str">
        <f t="shared" si="3"/>
        <v xml:space="preserve">  </v>
      </c>
      <c r="J97" s="203" t="s">
        <v>131</v>
      </c>
      <c r="K97" s="289">
        <f>+IFERROR(VLOOKUP($J97,'11 FORMULAS'!$B$51:$C$53,2,0),"")</f>
        <v>0.25</v>
      </c>
      <c r="L97" s="289" t="str">
        <f>+IFERROR(VLOOKUP($J97,'11 FORMULAS'!$B$51:$D$53,3,0),"")</f>
        <v>Probabilidad</v>
      </c>
      <c r="M97" s="345" t="s">
        <v>132</v>
      </c>
      <c r="N97" s="346">
        <f>+IFERROR(VLOOKUP($M97,'11 FORMULAS'!$B$54:$C$55,2,0),"")</f>
        <v>0.25</v>
      </c>
      <c r="O97" s="347" t="s">
        <v>144</v>
      </c>
      <c r="P97" s="347" t="s">
        <v>237</v>
      </c>
      <c r="Q97" s="347" t="s">
        <v>135</v>
      </c>
      <c r="R97" s="347" t="s">
        <v>245</v>
      </c>
      <c r="S97" s="289">
        <f t="shared" si="4"/>
        <v>0.5</v>
      </c>
      <c r="T97" s="289">
        <f>IF($L97='11 FORMULAS'!$D$51,$C$8-($C$8*$S$8),$C$8)</f>
        <v>0.36</v>
      </c>
      <c r="U97" s="289">
        <f>IF($L97='11 FORMULAS'!$D$53,D97-(D97*S97),D97)</f>
        <v>0</v>
      </c>
      <c r="V97" s="533"/>
      <c r="W97" s="537"/>
      <c r="X97" s="38"/>
      <c r="Y97" s="285"/>
      <c r="Z97" s="286"/>
      <c r="AA97" s="286"/>
    </row>
    <row r="98" spans="1:27" ht="29.25" hidden="1" customHeight="1" thickBot="1" x14ac:dyDescent="0.3">
      <c r="A98" s="514"/>
      <c r="B98" s="518"/>
      <c r="C98" s="521"/>
      <c r="D98" s="525"/>
      <c r="E98" s="348">
        <v>6</v>
      </c>
      <c r="F98" s="319"/>
      <c r="G98" s="204"/>
      <c r="H98" s="204"/>
      <c r="I98" s="280" t="str">
        <f t="shared" si="3"/>
        <v xml:space="preserve">  </v>
      </c>
      <c r="J98" s="203" t="s">
        <v>131</v>
      </c>
      <c r="K98" s="289">
        <f>+IFERROR(VLOOKUP($J98,'11 FORMULAS'!$B$51:$C$53,2,0),"")</f>
        <v>0.25</v>
      </c>
      <c r="L98" s="289" t="str">
        <f>+IFERROR(VLOOKUP($J98,'11 FORMULAS'!$B$51:$D$53,3,0),"")</f>
        <v>Probabilidad</v>
      </c>
      <c r="M98" s="345" t="s">
        <v>132</v>
      </c>
      <c r="N98" s="346">
        <f>+IFERROR(VLOOKUP($M98,'11 FORMULAS'!$B$54:$C$55,2,0),"")</f>
        <v>0.25</v>
      </c>
      <c r="O98" s="347" t="s">
        <v>144</v>
      </c>
      <c r="P98" s="347" t="s">
        <v>237</v>
      </c>
      <c r="Q98" s="347" t="s">
        <v>135</v>
      </c>
      <c r="R98" s="347" t="s">
        <v>245</v>
      </c>
      <c r="S98" s="289">
        <f t="shared" si="4"/>
        <v>0.5</v>
      </c>
      <c r="T98" s="289">
        <f>IF($L98='11 FORMULAS'!$D$51,$C$8-($C$8*$S$8),$C$8)</f>
        <v>0.36</v>
      </c>
      <c r="U98" s="289">
        <f>IF($L98='11 FORMULAS'!$D$53,D98-(D98*S98),D98)</f>
        <v>0</v>
      </c>
      <c r="V98" s="535"/>
      <c r="W98" s="538"/>
      <c r="X98" s="38"/>
    </row>
    <row r="99" spans="1:27" ht="28.5" hidden="1" customHeight="1" x14ac:dyDescent="0.25">
      <c r="A99" s="511" t="e">
        <f>'2 CONTEXTO E IDENTIFICACIÓN'!#REF!</f>
        <v>#REF!</v>
      </c>
      <c r="B99" s="515" t="e">
        <f>+'2 CONTEXTO E IDENTIFICACIÓN'!#REF!</f>
        <v>#REF!</v>
      </c>
      <c r="C99" s="519" t="str">
        <f>+'3 PROBABIL E IMPACTO INHERENTE'!E24</f>
        <v/>
      </c>
      <c r="D99" s="522" t="str">
        <f>+'3 PROBABIL E IMPACTO INHERENTE'!M24</f>
        <v/>
      </c>
      <c r="E99" s="349">
        <v>1</v>
      </c>
      <c r="F99" s="318"/>
      <c r="G99" s="49"/>
      <c r="H99" s="49"/>
      <c r="I99" s="280" t="str">
        <f t="shared" si="3"/>
        <v xml:space="preserve">  </v>
      </c>
      <c r="J99" s="203" t="s">
        <v>131</v>
      </c>
      <c r="K99" s="289">
        <f>+IFERROR(VLOOKUP($J99,'11 FORMULAS'!$B$51:$C$53,2,0),"")</f>
        <v>0.25</v>
      </c>
      <c r="L99" s="289" t="str">
        <f>+IFERROR(VLOOKUP($J99,'11 FORMULAS'!$B$51:$D$53,3,0),"")</f>
        <v>Probabilidad</v>
      </c>
      <c r="M99" s="345" t="s">
        <v>132</v>
      </c>
      <c r="N99" s="346">
        <f>+IFERROR(VLOOKUP($M99,'11 FORMULAS'!$B$54:$C$55,2,0),"")</f>
        <v>0.25</v>
      </c>
      <c r="O99" s="347" t="s">
        <v>144</v>
      </c>
      <c r="P99" s="347" t="s">
        <v>237</v>
      </c>
      <c r="Q99" s="347" t="s">
        <v>135</v>
      </c>
      <c r="R99" s="347" t="s">
        <v>245</v>
      </c>
      <c r="S99" s="289">
        <f t="shared" si="4"/>
        <v>0.5</v>
      </c>
      <c r="T99" s="289">
        <f>IF($L99='11 FORMULAS'!$D$51,$C$8-($C$8*$S$8),$C$8)</f>
        <v>0.36</v>
      </c>
      <c r="U99" s="289" t="str">
        <f>IF($L99='11 FORMULAS'!$D$53,D99-(D99*S99),D99)</f>
        <v/>
      </c>
      <c r="V99" s="534">
        <f>+IF(T104="","",T104)</f>
        <v>0.36</v>
      </c>
      <c r="W99" s="536">
        <f>+IF(U104="","",U104)</f>
        <v>0</v>
      </c>
      <c r="X99" s="38"/>
      <c r="Y99" s="285"/>
      <c r="Z99" s="286"/>
      <c r="AA99" s="286"/>
    </row>
    <row r="100" spans="1:27" ht="28.5" hidden="1" customHeight="1" x14ac:dyDescent="0.25">
      <c r="A100" s="513"/>
      <c r="B100" s="517"/>
      <c r="C100" s="491"/>
      <c r="D100" s="524"/>
      <c r="E100" s="344">
        <v>2</v>
      </c>
      <c r="F100" s="317"/>
      <c r="G100" s="203"/>
      <c r="H100" s="203"/>
      <c r="I100" s="280" t="str">
        <f t="shared" si="3"/>
        <v xml:space="preserve">  </v>
      </c>
      <c r="J100" s="203" t="s">
        <v>131</v>
      </c>
      <c r="K100" s="289">
        <f>+IFERROR(VLOOKUP($J100,'11 FORMULAS'!$B$51:$C$53,2,0),"")</f>
        <v>0.25</v>
      </c>
      <c r="L100" s="289" t="str">
        <f>+IFERROR(VLOOKUP($J100,'11 FORMULAS'!$B$51:$D$53,3,0),"")</f>
        <v>Probabilidad</v>
      </c>
      <c r="M100" s="345" t="s">
        <v>132</v>
      </c>
      <c r="N100" s="346">
        <f>+IFERROR(VLOOKUP($M100,'11 FORMULAS'!$B$54:$C$55,2,0),"")</f>
        <v>0.25</v>
      </c>
      <c r="O100" s="347" t="s">
        <v>144</v>
      </c>
      <c r="P100" s="347" t="s">
        <v>237</v>
      </c>
      <c r="Q100" s="347" t="s">
        <v>135</v>
      </c>
      <c r="R100" s="347" t="s">
        <v>245</v>
      </c>
      <c r="S100" s="289">
        <f t="shared" si="4"/>
        <v>0.5</v>
      </c>
      <c r="T100" s="289">
        <f>IF($L100='11 FORMULAS'!$D$51,$C$8-($C$8*$S$8),$C$8)</f>
        <v>0.36</v>
      </c>
      <c r="U100" s="289">
        <f>IF($L100='11 FORMULAS'!$D$53,D100-(D100*S100),D100)</f>
        <v>0</v>
      </c>
      <c r="V100" s="533"/>
      <c r="W100" s="537"/>
      <c r="X100" s="38"/>
      <c r="Y100" s="285"/>
      <c r="Z100" s="286"/>
      <c r="AA100" s="286"/>
    </row>
    <row r="101" spans="1:27" ht="28.5" hidden="1" customHeight="1" x14ac:dyDescent="0.25">
      <c r="A101" s="513"/>
      <c r="B101" s="517"/>
      <c r="C101" s="491"/>
      <c r="D101" s="524"/>
      <c r="E101" s="344">
        <v>3</v>
      </c>
      <c r="F101" s="317"/>
      <c r="G101" s="203"/>
      <c r="H101" s="203"/>
      <c r="I101" s="280" t="str">
        <f t="shared" si="3"/>
        <v xml:space="preserve">  </v>
      </c>
      <c r="J101" s="203" t="s">
        <v>131</v>
      </c>
      <c r="K101" s="289">
        <f>+IFERROR(VLOOKUP($J101,'11 FORMULAS'!$B$51:$C$53,2,0),"")</f>
        <v>0.25</v>
      </c>
      <c r="L101" s="289" t="str">
        <f>+IFERROR(VLOOKUP($J101,'11 FORMULAS'!$B$51:$D$53,3,0),"")</f>
        <v>Probabilidad</v>
      </c>
      <c r="M101" s="345" t="s">
        <v>132</v>
      </c>
      <c r="N101" s="346">
        <f>+IFERROR(VLOOKUP($M101,'11 FORMULAS'!$B$54:$C$55,2,0),"")</f>
        <v>0.25</v>
      </c>
      <c r="O101" s="347" t="s">
        <v>144</v>
      </c>
      <c r="P101" s="347" t="s">
        <v>237</v>
      </c>
      <c r="Q101" s="347" t="s">
        <v>135</v>
      </c>
      <c r="R101" s="347" t="s">
        <v>245</v>
      </c>
      <c r="S101" s="289">
        <f t="shared" si="4"/>
        <v>0.5</v>
      </c>
      <c r="T101" s="289">
        <f>IF($L101='11 FORMULAS'!$D$51,$C$8-($C$8*$S$8),$C$8)</f>
        <v>0.36</v>
      </c>
      <c r="U101" s="289">
        <f>IF($L101='11 FORMULAS'!$D$53,D101-(D101*S101),D101)</f>
        <v>0</v>
      </c>
      <c r="V101" s="533"/>
      <c r="W101" s="537"/>
      <c r="X101" s="38"/>
      <c r="Y101" s="285"/>
      <c r="Z101" s="286"/>
      <c r="AA101" s="286"/>
    </row>
    <row r="102" spans="1:27" ht="28.5" hidden="1" customHeight="1" x14ac:dyDescent="0.25">
      <c r="A102" s="513"/>
      <c r="B102" s="517"/>
      <c r="C102" s="491"/>
      <c r="D102" s="524"/>
      <c r="E102" s="344">
        <v>4</v>
      </c>
      <c r="F102" s="317"/>
      <c r="G102" s="203"/>
      <c r="H102" s="203"/>
      <c r="I102" s="280" t="str">
        <f t="shared" si="3"/>
        <v xml:space="preserve">  </v>
      </c>
      <c r="J102" s="203" t="s">
        <v>131</v>
      </c>
      <c r="K102" s="289">
        <f>+IFERROR(VLOOKUP($J102,'11 FORMULAS'!$B$51:$C$53,2,0),"")</f>
        <v>0.25</v>
      </c>
      <c r="L102" s="289" t="str">
        <f>+IFERROR(VLOOKUP($J102,'11 FORMULAS'!$B$51:$D$53,3,0),"")</f>
        <v>Probabilidad</v>
      </c>
      <c r="M102" s="345" t="s">
        <v>132</v>
      </c>
      <c r="N102" s="346">
        <f>+IFERROR(VLOOKUP($M102,'11 FORMULAS'!$B$54:$C$55,2,0),"")</f>
        <v>0.25</v>
      </c>
      <c r="O102" s="347" t="s">
        <v>144</v>
      </c>
      <c r="P102" s="347" t="s">
        <v>237</v>
      </c>
      <c r="Q102" s="347" t="s">
        <v>135</v>
      </c>
      <c r="R102" s="347" t="s">
        <v>245</v>
      </c>
      <c r="S102" s="289">
        <f t="shared" si="4"/>
        <v>0.5</v>
      </c>
      <c r="T102" s="289">
        <f>IF($L102='11 FORMULAS'!$D$51,$C$8-($C$8*$S$8),$C$8)</f>
        <v>0.36</v>
      </c>
      <c r="U102" s="289">
        <f>IF($L102='11 FORMULAS'!$D$53,D102-(D102*S102),D102)</f>
        <v>0</v>
      </c>
      <c r="V102" s="533"/>
      <c r="W102" s="537"/>
      <c r="X102" s="38"/>
      <c r="Y102" s="285"/>
      <c r="Z102" s="286"/>
      <c r="AA102" s="286"/>
    </row>
    <row r="103" spans="1:27" ht="28.5" hidden="1" customHeight="1" x14ac:dyDescent="0.25">
      <c r="A103" s="513"/>
      <c r="B103" s="517"/>
      <c r="C103" s="491"/>
      <c r="D103" s="524"/>
      <c r="E103" s="344">
        <v>5</v>
      </c>
      <c r="F103" s="317"/>
      <c r="G103" s="203"/>
      <c r="H103" s="203"/>
      <c r="I103" s="280" t="str">
        <f t="shared" si="3"/>
        <v xml:space="preserve">  </v>
      </c>
      <c r="J103" s="203" t="s">
        <v>131</v>
      </c>
      <c r="K103" s="289">
        <f>+IFERROR(VLOOKUP($J103,'11 FORMULAS'!$B$51:$C$53,2,0),"")</f>
        <v>0.25</v>
      </c>
      <c r="L103" s="289" t="str">
        <f>+IFERROR(VLOOKUP($J103,'11 FORMULAS'!$B$51:$D$53,3,0),"")</f>
        <v>Probabilidad</v>
      </c>
      <c r="M103" s="345" t="s">
        <v>132</v>
      </c>
      <c r="N103" s="346">
        <f>+IFERROR(VLOOKUP($M103,'11 FORMULAS'!$B$54:$C$55,2,0),"")</f>
        <v>0.25</v>
      </c>
      <c r="O103" s="347" t="s">
        <v>144</v>
      </c>
      <c r="P103" s="347" t="s">
        <v>237</v>
      </c>
      <c r="Q103" s="347" t="s">
        <v>135</v>
      </c>
      <c r="R103" s="347" t="s">
        <v>245</v>
      </c>
      <c r="S103" s="289">
        <f t="shared" si="4"/>
        <v>0.5</v>
      </c>
      <c r="T103" s="289">
        <f>IF($L103='11 FORMULAS'!$D$51,$C$8-($C$8*$S$8),$C$8)</f>
        <v>0.36</v>
      </c>
      <c r="U103" s="289">
        <f>IF($L103='11 FORMULAS'!$D$53,D103-(D103*S103),D103)</f>
        <v>0</v>
      </c>
      <c r="V103" s="533"/>
      <c r="W103" s="537"/>
      <c r="X103" s="38"/>
      <c r="Y103" s="285"/>
      <c r="Z103" s="286"/>
      <c r="AA103" s="286"/>
    </row>
    <row r="104" spans="1:27" ht="29.25" hidden="1" customHeight="1" thickBot="1" x14ac:dyDescent="0.3">
      <c r="A104" s="514"/>
      <c r="B104" s="518"/>
      <c r="C104" s="521"/>
      <c r="D104" s="525"/>
      <c r="E104" s="348">
        <v>6</v>
      </c>
      <c r="F104" s="319"/>
      <c r="G104" s="204"/>
      <c r="H104" s="204"/>
      <c r="I104" s="280" t="str">
        <f t="shared" si="3"/>
        <v xml:space="preserve">  </v>
      </c>
      <c r="J104" s="203" t="s">
        <v>131</v>
      </c>
      <c r="K104" s="289">
        <f>+IFERROR(VLOOKUP($J104,'11 FORMULAS'!$B$51:$C$53,2,0),"")</f>
        <v>0.25</v>
      </c>
      <c r="L104" s="289" t="str">
        <f>+IFERROR(VLOOKUP($J104,'11 FORMULAS'!$B$51:$D$53,3,0),"")</f>
        <v>Probabilidad</v>
      </c>
      <c r="M104" s="345" t="s">
        <v>132</v>
      </c>
      <c r="N104" s="346">
        <f>+IFERROR(VLOOKUP($M104,'11 FORMULAS'!$B$54:$C$55,2,0),"")</f>
        <v>0.25</v>
      </c>
      <c r="O104" s="347" t="s">
        <v>144</v>
      </c>
      <c r="P104" s="347" t="s">
        <v>237</v>
      </c>
      <c r="Q104" s="347" t="s">
        <v>135</v>
      </c>
      <c r="R104" s="347" t="s">
        <v>245</v>
      </c>
      <c r="S104" s="289">
        <f t="shared" si="4"/>
        <v>0.5</v>
      </c>
      <c r="T104" s="289">
        <f>IF($L104='11 FORMULAS'!$D$51,$C$8-($C$8*$S$8),$C$8)</f>
        <v>0.36</v>
      </c>
      <c r="U104" s="289">
        <f>IF($L104='11 FORMULAS'!$D$53,D104-(D104*S104),D104)</f>
        <v>0</v>
      </c>
      <c r="V104" s="535"/>
      <c r="W104" s="538"/>
      <c r="X104" s="38"/>
    </row>
    <row r="105" spans="1:27" ht="28.5" hidden="1" customHeight="1" x14ac:dyDescent="0.25">
      <c r="A105" s="511" t="e">
        <f>'2 CONTEXTO E IDENTIFICACIÓN'!#REF!</f>
        <v>#REF!</v>
      </c>
      <c r="B105" s="515" t="e">
        <f>+'2 CONTEXTO E IDENTIFICACIÓN'!#REF!</f>
        <v>#REF!</v>
      </c>
      <c r="C105" s="519" t="str">
        <f>+'3 PROBABIL E IMPACTO INHERENTE'!E25</f>
        <v/>
      </c>
      <c r="D105" s="522" t="str">
        <f>+'3 PROBABIL E IMPACTO INHERENTE'!M25</f>
        <v/>
      </c>
      <c r="E105" s="349">
        <v>1</v>
      </c>
      <c r="F105" s="318"/>
      <c r="G105" s="49"/>
      <c r="H105" s="49"/>
      <c r="I105" s="280" t="str">
        <f t="shared" si="3"/>
        <v xml:space="preserve">  </v>
      </c>
      <c r="J105" s="203" t="s">
        <v>131</v>
      </c>
      <c r="K105" s="289">
        <f>+IFERROR(VLOOKUP($J105,'11 FORMULAS'!$B$51:$C$53,2,0),"")</f>
        <v>0.25</v>
      </c>
      <c r="L105" s="289" t="str">
        <f>+IFERROR(VLOOKUP($J105,'11 FORMULAS'!$B$51:$D$53,3,0),"")</f>
        <v>Probabilidad</v>
      </c>
      <c r="M105" s="345" t="s">
        <v>132</v>
      </c>
      <c r="N105" s="346">
        <f>+IFERROR(VLOOKUP($M105,'11 FORMULAS'!$B$54:$C$55,2,0),"")</f>
        <v>0.25</v>
      </c>
      <c r="O105" s="347" t="s">
        <v>144</v>
      </c>
      <c r="P105" s="347" t="s">
        <v>237</v>
      </c>
      <c r="Q105" s="347" t="s">
        <v>135</v>
      </c>
      <c r="R105" s="347" t="s">
        <v>245</v>
      </c>
      <c r="S105" s="289">
        <f t="shared" si="4"/>
        <v>0.5</v>
      </c>
      <c r="T105" s="289">
        <f>IF($L105='11 FORMULAS'!$D$51,$C$8-($C$8*$S$8),$C$8)</f>
        <v>0.36</v>
      </c>
      <c r="U105" s="289" t="str">
        <f>IF($L105='11 FORMULAS'!$D$53,D105-(D105*S105),D105)</f>
        <v/>
      </c>
      <c r="V105" s="534">
        <f>+IF(T110="","",T110)</f>
        <v>0.36</v>
      </c>
      <c r="W105" s="536">
        <f>+IF(U110="","",U110)</f>
        <v>0</v>
      </c>
      <c r="X105" s="38"/>
      <c r="Y105" s="285"/>
      <c r="Z105" s="286"/>
      <c r="AA105" s="286"/>
    </row>
    <row r="106" spans="1:27" ht="28.5" hidden="1" customHeight="1" x14ac:dyDescent="0.25">
      <c r="A106" s="512"/>
      <c r="B106" s="516"/>
      <c r="C106" s="520"/>
      <c r="D106" s="523"/>
      <c r="E106" s="344">
        <v>2</v>
      </c>
      <c r="F106" s="316"/>
      <c r="G106" s="314"/>
      <c r="H106" s="314"/>
      <c r="I106" s="280" t="str">
        <f t="shared" si="3"/>
        <v xml:space="preserve">  </v>
      </c>
      <c r="J106" s="203" t="s">
        <v>131</v>
      </c>
      <c r="K106" s="289">
        <f>+IFERROR(VLOOKUP($J106,'11 FORMULAS'!$B$51:$C$53,2,0),"")</f>
        <v>0.25</v>
      </c>
      <c r="L106" s="289" t="str">
        <f>+IFERROR(VLOOKUP($J106,'11 FORMULAS'!$B$51:$D$53,3,0),"")</f>
        <v>Probabilidad</v>
      </c>
      <c r="M106" s="345" t="s">
        <v>132</v>
      </c>
      <c r="N106" s="346">
        <f>+IFERROR(VLOOKUP($M106,'11 FORMULAS'!$B$54:$C$55,2,0),"")</f>
        <v>0.25</v>
      </c>
      <c r="O106" s="347" t="s">
        <v>144</v>
      </c>
      <c r="P106" s="347" t="s">
        <v>237</v>
      </c>
      <c r="Q106" s="347" t="s">
        <v>135</v>
      </c>
      <c r="R106" s="347" t="s">
        <v>245</v>
      </c>
      <c r="S106" s="289">
        <f t="shared" si="4"/>
        <v>0.5</v>
      </c>
      <c r="T106" s="289">
        <f>IF($L106='11 FORMULAS'!$D$51,$C$8-($C$8*$S$8),$C$8)</f>
        <v>0.36</v>
      </c>
      <c r="U106" s="289">
        <f>IF($L106='11 FORMULAS'!$D$53,D106-(D106*S106),D106)</f>
        <v>0</v>
      </c>
      <c r="V106" s="539"/>
      <c r="W106" s="540"/>
      <c r="X106" s="38"/>
      <c r="Y106" s="285"/>
      <c r="Z106" s="286"/>
      <c r="AA106" s="286"/>
    </row>
    <row r="107" spans="1:27" ht="28.5" hidden="1" customHeight="1" x14ac:dyDescent="0.25">
      <c r="A107" s="512"/>
      <c r="B107" s="516"/>
      <c r="C107" s="520"/>
      <c r="D107" s="523"/>
      <c r="E107" s="344">
        <v>3</v>
      </c>
      <c r="F107" s="316"/>
      <c r="G107" s="314"/>
      <c r="H107" s="314"/>
      <c r="I107" s="280" t="str">
        <f t="shared" si="3"/>
        <v xml:space="preserve">  </v>
      </c>
      <c r="J107" s="203" t="s">
        <v>131</v>
      </c>
      <c r="K107" s="289">
        <f>+IFERROR(VLOOKUP($J107,'11 FORMULAS'!$B$51:$C$53,2,0),"")</f>
        <v>0.25</v>
      </c>
      <c r="L107" s="289" t="str">
        <f>+IFERROR(VLOOKUP($J107,'11 FORMULAS'!$B$51:$D$53,3,0),"")</f>
        <v>Probabilidad</v>
      </c>
      <c r="M107" s="345" t="s">
        <v>132</v>
      </c>
      <c r="N107" s="346">
        <f>+IFERROR(VLOOKUP($M107,'11 FORMULAS'!$B$54:$C$55,2,0),"")</f>
        <v>0.25</v>
      </c>
      <c r="O107" s="347" t="s">
        <v>144</v>
      </c>
      <c r="P107" s="347" t="s">
        <v>237</v>
      </c>
      <c r="Q107" s="347" t="s">
        <v>135</v>
      </c>
      <c r="R107" s="347" t="s">
        <v>245</v>
      </c>
      <c r="S107" s="289">
        <f t="shared" si="4"/>
        <v>0.5</v>
      </c>
      <c r="T107" s="289">
        <f>IF($L107='11 FORMULAS'!$D$51,$C$8-($C$8*$S$8),$C$8)</f>
        <v>0.36</v>
      </c>
      <c r="U107" s="289">
        <f>IF($L107='11 FORMULAS'!$D$53,D107-(D107*S107),D107)</f>
        <v>0</v>
      </c>
      <c r="V107" s="539"/>
      <c r="W107" s="540"/>
      <c r="X107" s="38"/>
      <c r="Y107" s="285"/>
      <c r="Z107" s="286"/>
      <c r="AA107" s="286"/>
    </row>
    <row r="108" spans="1:27" ht="28.5" hidden="1" customHeight="1" x14ac:dyDescent="0.25">
      <c r="A108" s="513"/>
      <c r="B108" s="517"/>
      <c r="C108" s="491"/>
      <c r="D108" s="524"/>
      <c r="E108" s="344">
        <v>4</v>
      </c>
      <c r="F108" s="317"/>
      <c r="G108" s="203"/>
      <c r="H108" s="203"/>
      <c r="I108" s="280" t="str">
        <f t="shared" si="3"/>
        <v xml:space="preserve">  </v>
      </c>
      <c r="J108" s="203" t="s">
        <v>131</v>
      </c>
      <c r="K108" s="289">
        <f>+IFERROR(VLOOKUP($J108,'11 FORMULAS'!$B$51:$C$53,2,0),"")</f>
        <v>0.25</v>
      </c>
      <c r="L108" s="289" t="str">
        <f>+IFERROR(VLOOKUP($J108,'11 FORMULAS'!$B$51:$D$53,3,0),"")</f>
        <v>Probabilidad</v>
      </c>
      <c r="M108" s="345" t="s">
        <v>132</v>
      </c>
      <c r="N108" s="346">
        <f>+IFERROR(VLOOKUP($M108,'11 FORMULAS'!$B$54:$C$55,2,0),"")</f>
        <v>0.25</v>
      </c>
      <c r="O108" s="347" t="s">
        <v>144</v>
      </c>
      <c r="P108" s="347" t="s">
        <v>237</v>
      </c>
      <c r="Q108" s="347" t="s">
        <v>135</v>
      </c>
      <c r="R108" s="347" t="s">
        <v>245</v>
      </c>
      <c r="S108" s="289">
        <f t="shared" si="4"/>
        <v>0.5</v>
      </c>
      <c r="T108" s="289">
        <f>IF($L108='11 FORMULAS'!$D$51,$C$8-($C$8*$S$8),$C$8)</f>
        <v>0.36</v>
      </c>
      <c r="U108" s="289">
        <f>IF($L108='11 FORMULAS'!$D$53,D108-(D108*S108),D108)</f>
        <v>0</v>
      </c>
      <c r="V108" s="533"/>
      <c r="W108" s="537"/>
      <c r="X108" s="38"/>
      <c r="Y108" s="285"/>
      <c r="Z108" s="286"/>
      <c r="AA108" s="286"/>
    </row>
    <row r="109" spans="1:27" ht="28.5" hidden="1" customHeight="1" x14ac:dyDescent="0.25">
      <c r="A109" s="513"/>
      <c r="B109" s="517"/>
      <c r="C109" s="491"/>
      <c r="D109" s="524"/>
      <c r="E109" s="344">
        <v>5</v>
      </c>
      <c r="F109" s="317"/>
      <c r="G109" s="203"/>
      <c r="H109" s="203"/>
      <c r="I109" s="280" t="str">
        <f t="shared" si="3"/>
        <v xml:space="preserve">  </v>
      </c>
      <c r="J109" s="203" t="s">
        <v>131</v>
      </c>
      <c r="K109" s="289">
        <f>+IFERROR(VLOOKUP($J109,'11 FORMULAS'!$B$51:$C$53,2,0),"")</f>
        <v>0.25</v>
      </c>
      <c r="L109" s="289" t="str">
        <f>+IFERROR(VLOOKUP($J109,'11 FORMULAS'!$B$51:$D$53,3,0),"")</f>
        <v>Probabilidad</v>
      </c>
      <c r="M109" s="345" t="s">
        <v>132</v>
      </c>
      <c r="N109" s="346">
        <f>+IFERROR(VLOOKUP($M109,'11 FORMULAS'!$B$54:$C$55,2,0),"")</f>
        <v>0.25</v>
      </c>
      <c r="O109" s="347" t="s">
        <v>144</v>
      </c>
      <c r="P109" s="347" t="s">
        <v>237</v>
      </c>
      <c r="Q109" s="347" t="s">
        <v>135</v>
      </c>
      <c r="R109" s="347" t="s">
        <v>245</v>
      </c>
      <c r="S109" s="289">
        <f t="shared" si="4"/>
        <v>0.5</v>
      </c>
      <c r="T109" s="289">
        <f>IF($L109='11 FORMULAS'!$D$51,$C$8-($C$8*$S$8),$C$8)</f>
        <v>0.36</v>
      </c>
      <c r="U109" s="289">
        <f>IF($L109='11 FORMULAS'!$D$53,D109-(D109*S109),D109)</f>
        <v>0</v>
      </c>
      <c r="V109" s="533"/>
      <c r="W109" s="537"/>
      <c r="X109" s="38"/>
      <c r="Y109" s="285"/>
      <c r="Z109" s="286"/>
      <c r="AA109" s="286"/>
    </row>
    <row r="110" spans="1:27" ht="29.25" hidden="1" customHeight="1" thickBot="1" x14ac:dyDescent="0.3">
      <c r="A110" s="514"/>
      <c r="B110" s="518"/>
      <c r="C110" s="521"/>
      <c r="D110" s="525"/>
      <c r="E110" s="348">
        <v>6</v>
      </c>
      <c r="F110" s="319"/>
      <c r="G110" s="204"/>
      <c r="H110" s="204"/>
      <c r="I110" s="280" t="str">
        <f t="shared" si="3"/>
        <v xml:space="preserve">  </v>
      </c>
      <c r="J110" s="203" t="s">
        <v>131</v>
      </c>
      <c r="K110" s="289">
        <f>+IFERROR(VLOOKUP($J110,'11 FORMULAS'!$B$51:$C$53,2,0),"")</f>
        <v>0.25</v>
      </c>
      <c r="L110" s="289" t="str">
        <f>+IFERROR(VLOOKUP($J110,'11 FORMULAS'!$B$51:$D$53,3,0),"")</f>
        <v>Probabilidad</v>
      </c>
      <c r="M110" s="345" t="s">
        <v>132</v>
      </c>
      <c r="N110" s="346">
        <f>+IFERROR(VLOOKUP($M110,'11 FORMULAS'!$B$54:$C$55,2,0),"")</f>
        <v>0.25</v>
      </c>
      <c r="O110" s="347" t="s">
        <v>144</v>
      </c>
      <c r="P110" s="347" t="s">
        <v>237</v>
      </c>
      <c r="Q110" s="347" t="s">
        <v>135</v>
      </c>
      <c r="R110" s="347" t="s">
        <v>245</v>
      </c>
      <c r="S110" s="289">
        <f t="shared" si="4"/>
        <v>0.5</v>
      </c>
      <c r="T110" s="289">
        <f>IF($L110='11 FORMULAS'!$D$51,$C$8-($C$8*$S$8),$C$8)</f>
        <v>0.36</v>
      </c>
      <c r="U110" s="289">
        <f>IF($L110='11 FORMULAS'!$D$53,D110-(D110*S110),D110)</f>
        <v>0</v>
      </c>
      <c r="V110" s="535"/>
      <c r="W110" s="538"/>
      <c r="X110" s="38"/>
    </row>
    <row r="111" spans="1:27" ht="28.5" hidden="1" customHeight="1" x14ac:dyDescent="0.25">
      <c r="A111" s="511" t="e">
        <f>'2 CONTEXTO E IDENTIFICACIÓN'!#REF!</f>
        <v>#REF!</v>
      </c>
      <c r="B111" s="515" t="e">
        <f>+'2 CONTEXTO E IDENTIFICACIÓN'!#REF!</f>
        <v>#REF!</v>
      </c>
      <c r="C111" s="519" t="str">
        <f>+'3 PROBABIL E IMPACTO INHERENTE'!E26</f>
        <v/>
      </c>
      <c r="D111" s="522" t="str">
        <f>+'3 PROBABIL E IMPACTO INHERENTE'!M26</f>
        <v/>
      </c>
      <c r="E111" s="349">
        <v>1</v>
      </c>
      <c r="F111" s="318"/>
      <c r="G111" s="49"/>
      <c r="H111" s="49"/>
      <c r="I111" s="280" t="str">
        <f t="shared" si="3"/>
        <v xml:space="preserve">  </v>
      </c>
      <c r="J111" s="203" t="s">
        <v>131</v>
      </c>
      <c r="K111" s="289">
        <f>+IFERROR(VLOOKUP($J111,'11 FORMULAS'!$B$51:$C$53,2,0),"")</f>
        <v>0.25</v>
      </c>
      <c r="L111" s="289" t="str">
        <f>+IFERROR(VLOOKUP($J111,'11 FORMULAS'!$B$51:$D$53,3,0),"")</f>
        <v>Probabilidad</v>
      </c>
      <c r="M111" s="345" t="s">
        <v>132</v>
      </c>
      <c r="N111" s="346">
        <f>+IFERROR(VLOOKUP($M111,'11 FORMULAS'!$B$54:$C$55,2,0),"")</f>
        <v>0.25</v>
      </c>
      <c r="O111" s="347" t="s">
        <v>144</v>
      </c>
      <c r="P111" s="347" t="s">
        <v>237</v>
      </c>
      <c r="Q111" s="347" t="s">
        <v>135</v>
      </c>
      <c r="R111" s="347" t="s">
        <v>245</v>
      </c>
      <c r="S111" s="289">
        <f t="shared" si="4"/>
        <v>0.5</v>
      </c>
      <c r="T111" s="289">
        <f>IF($L111='11 FORMULAS'!$D$51,$C$8-($C$8*$S$8),$C$8)</f>
        <v>0.36</v>
      </c>
      <c r="U111" s="289" t="str">
        <f>IF($L111='11 FORMULAS'!$D$53,D111-(D111*S111),D111)</f>
        <v/>
      </c>
      <c r="V111" s="534">
        <f>+IF(T116="","",T116)</f>
        <v>0.36</v>
      </c>
      <c r="W111" s="536">
        <f>+IF(U116="","",U116)</f>
        <v>0</v>
      </c>
      <c r="X111" s="38"/>
      <c r="Y111" s="285"/>
      <c r="Z111" s="286"/>
      <c r="AA111" s="286"/>
    </row>
    <row r="112" spans="1:27" ht="28.5" hidden="1" customHeight="1" x14ac:dyDescent="0.25">
      <c r="A112" s="512"/>
      <c r="B112" s="516"/>
      <c r="C112" s="520"/>
      <c r="D112" s="523"/>
      <c r="E112" s="344">
        <v>2</v>
      </c>
      <c r="F112" s="316"/>
      <c r="G112" s="314"/>
      <c r="H112" s="314"/>
      <c r="I112" s="280" t="str">
        <f t="shared" si="3"/>
        <v xml:space="preserve">  </v>
      </c>
      <c r="J112" s="203" t="s">
        <v>131</v>
      </c>
      <c r="K112" s="289">
        <f>+IFERROR(VLOOKUP($J112,'11 FORMULAS'!$B$51:$C$53,2,0),"")</f>
        <v>0.25</v>
      </c>
      <c r="L112" s="289" t="str">
        <f>+IFERROR(VLOOKUP($J112,'11 FORMULAS'!$B$51:$D$53,3,0),"")</f>
        <v>Probabilidad</v>
      </c>
      <c r="M112" s="345" t="s">
        <v>132</v>
      </c>
      <c r="N112" s="346">
        <f>+IFERROR(VLOOKUP($M112,'11 FORMULAS'!$B$54:$C$55,2,0),"")</f>
        <v>0.25</v>
      </c>
      <c r="O112" s="347" t="s">
        <v>144</v>
      </c>
      <c r="P112" s="347" t="s">
        <v>237</v>
      </c>
      <c r="Q112" s="347" t="s">
        <v>135</v>
      </c>
      <c r="R112" s="347" t="s">
        <v>245</v>
      </c>
      <c r="S112" s="289">
        <f t="shared" si="4"/>
        <v>0.5</v>
      </c>
      <c r="T112" s="289">
        <f>IF($L112='11 FORMULAS'!$D$51,$C$8-($C$8*$S$8),$C$8)</f>
        <v>0.36</v>
      </c>
      <c r="U112" s="289">
        <f>IF($L112='11 FORMULAS'!$D$53,D112-(D112*S112),D112)</f>
        <v>0</v>
      </c>
      <c r="V112" s="539"/>
      <c r="W112" s="540"/>
      <c r="X112" s="38"/>
      <c r="Y112" s="285"/>
      <c r="Z112" s="286"/>
      <c r="AA112" s="286"/>
    </row>
    <row r="113" spans="1:27" ht="28.5" hidden="1" customHeight="1" x14ac:dyDescent="0.25">
      <c r="A113" s="512"/>
      <c r="B113" s="516"/>
      <c r="C113" s="520"/>
      <c r="D113" s="523"/>
      <c r="E113" s="344">
        <v>3</v>
      </c>
      <c r="F113" s="316"/>
      <c r="G113" s="314"/>
      <c r="H113" s="314"/>
      <c r="I113" s="280" t="str">
        <f t="shared" si="3"/>
        <v xml:space="preserve">  </v>
      </c>
      <c r="J113" s="203" t="s">
        <v>131</v>
      </c>
      <c r="K113" s="289">
        <f>+IFERROR(VLOOKUP($J113,'11 FORMULAS'!$B$51:$C$53,2,0),"")</f>
        <v>0.25</v>
      </c>
      <c r="L113" s="289" t="str">
        <f>+IFERROR(VLOOKUP($J113,'11 FORMULAS'!$B$51:$D$53,3,0),"")</f>
        <v>Probabilidad</v>
      </c>
      <c r="M113" s="345" t="s">
        <v>132</v>
      </c>
      <c r="N113" s="346">
        <f>+IFERROR(VLOOKUP($M113,'11 FORMULAS'!$B$54:$C$55,2,0),"")</f>
        <v>0.25</v>
      </c>
      <c r="O113" s="347" t="s">
        <v>144</v>
      </c>
      <c r="P113" s="347" t="s">
        <v>237</v>
      </c>
      <c r="Q113" s="347" t="s">
        <v>135</v>
      </c>
      <c r="R113" s="347" t="s">
        <v>245</v>
      </c>
      <c r="S113" s="289">
        <f t="shared" si="4"/>
        <v>0.5</v>
      </c>
      <c r="T113" s="289">
        <f>IF($L113='11 FORMULAS'!$D$51,$C$8-($C$8*$S$8),$C$8)</f>
        <v>0.36</v>
      </c>
      <c r="U113" s="289">
        <f>IF($L113='11 FORMULAS'!$D$53,D113-(D113*S113),D113)</f>
        <v>0</v>
      </c>
      <c r="V113" s="539"/>
      <c r="W113" s="540"/>
      <c r="X113" s="38"/>
      <c r="Y113" s="285"/>
      <c r="Z113" s="286"/>
      <c r="AA113" s="286"/>
    </row>
    <row r="114" spans="1:27" ht="28.5" hidden="1" customHeight="1" x14ac:dyDescent="0.25">
      <c r="A114" s="513"/>
      <c r="B114" s="517"/>
      <c r="C114" s="491"/>
      <c r="D114" s="524"/>
      <c r="E114" s="344">
        <v>4</v>
      </c>
      <c r="F114" s="317"/>
      <c r="G114" s="203"/>
      <c r="H114" s="203"/>
      <c r="I114" s="280" t="str">
        <f t="shared" si="3"/>
        <v xml:space="preserve">  </v>
      </c>
      <c r="J114" s="203" t="s">
        <v>131</v>
      </c>
      <c r="K114" s="289">
        <f>+IFERROR(VLOOKUP($J114,'11 FORMULAS'!$B$51:$C$53,2,0),"")</f>
        <v>0.25</v>
      </c>
      <c r="L114" s="289" t="str">
        <f>+IFERROR(VLOOKUP($J114,'11 FORMULAS'!$B$51:$D$53,3,0),"")</f>
        <v>Probabilidad</v>
      </c>
      <c r="M114" s="345" t="s">
        <v>132</v>
      </c>
      <c r="N114" s="346">
        <f>+IFERROR(VLOOKUP($M114,'11 FORMULAS'!$B$54:$C$55,2,0),"")</f>
        <v>0.25</v>
      </c>
      <c r="O114" s="347" t="s">
        <v>144</v>
      </c>
      <c r="P114" s="347" t="s">
        <v>237</v>
      </c>
      <c r="Q114" s="347" t="s">
        <v>135</v>
      </c>
      <c r="R114" s="347" t="s">
        <v>245</v>
      </c>
      <c r="S114" s="289">
        <f t="shared" si="4"/>
        <v>0.5</v>
      </c>
      <c r="T114" s="289">
        <f>IF($L114='11 FORMULAS'!$D$51,$C$8-($C$8*$S$8),$C$8)</f>
        <v>0.36</v>
      </c>
      <c r="U114" s="289">
        <f>IF($L114='11 FORMULAS'!$D$53,D114-(D114*S114),D114)</f>
        <v>0</v>
      </c>
      <c r="V114" s="533"/>
      <c r="W114" s="537"/>
      <c r="X114" s="38"/>
      <c r="Y114" s="285"/>
      <c r="Z114" s="286"/>
      <c r="AA114" s="286"/>
    </row>
    <row r="115" spans="1:27" ht="28.5" hidden="1" customHeight="1" x14ac:dyDescent="0.25">
      <c r="A115" s="513"/>
      <c r="B115" s="517"/>
      <c r="C115" s="491"/>
      <c r="D115" s="524"/>
      <c r="E115" s="344">
        <v>5</v>
      </c>
      <c r="F115" s="317"/>
      <c r="G115" s="203"/>
      <c r="H115" s="203"/>
      <c r="I115" s="280" t="str">
        <f t="shared" si="3"/>
        <v xml:space="preserve">  </v>
      </c>
      <c r="J115" s="203" t="s">
        <v>131</v>
      </c>
      <c r="K115" s="289">
        <f>+IFERROR(VLOOKUP($J115,'11 FORMULAS'!$B$51:$C$53,2,0),"")</f>
        <v>0.25</v>
      </c>
      <c r="L115" s="289" t="str">
        <f>+IFERROR(VLOOKUP($J115,'11 FORMULAS'!$B$51:$D$53,3,0),"")</f>
        <v>Probabilidad</v>
      </c>
      <c r="M115" s="345" t="s">
        <v>132</v>
      </c>
      <c r="N115" s="346">
        <f>+IFERROR(VLOOKUP($M115,'11 FORMULAS'!$B$54:$C$55,2,0),"")</f>
        <v>0.25</v>
      </c>
      <c r="O115" s="347" t="s">
        <v>144</v>
      </c>
      <c r="P115" s="347" t="s">
        <v>237</v>
      </c>
      <c r="Q115" s="347" t="s">
        <v>135</v>
      </c>
      <c r="R115" s="347" t="s">
        <v>245</v>
      </c>
      <c r="S115" s="289">
        <f t="shared" si="4"/>
        <v>0.5</v>
      </c>
      <c r="T115" s="289">
        <f>IF($L115='11 FORMULAS'!$D$51,$C$8-($C$8*$S$8),$C$8)</f>
        <v>0.36</v>
      </c>
      <c r="U115" s="289">
        <f>IF($L115='11 FORMULAS'!$D$53,D115-(D115*S115),D115)</f>
        <v>0</v>
      </c>
      <c r="V115" s="533"/>
      <c r="W115" s="537"/>
      <c r="X115" s="38"/>
      <c r="Y115" s="285"/>
      <c r="Z115" s="286"/>
      <c r="AA115" s="286"/>
    </row>
    <row r="116" spans="1:27" ht="29.25" hidden="1" customHeight="1" thickBot="1" x14ac:dyDescent="0.3">
      <c r="A116" s="514"/>
      <c r="B116" s="518"/>
      <c r="C116" s="521"/>
      <c r="D116" s="525"/>
      <c r="E116" s="348">
        <v>6</v>
      </c>
      <c r="F116" s="319"/>
      <c r="G116" s="204"/>
      <c r="H116" s="204"/>
      <c r="I116" s="280" t="str">
        <f t="shared" si="3"/>
        <v xml:space="preserve">  </v>
      </c>
      <c r="J116" s="203" t="s">
        <v>131</v>
      </c>
      <c r="K116" s="289">
        <f>+IFERROR(VLOOKUP($J116,'11 FORMULAS'!$B$51:$C$53,2,0),"")</f>
        <v>0.25</v>
      </c>
      <c r="L116" s="289" t="str">
        <f>+IFERROR(VLOOKUP($J116,'11 FORMULAS'!$B$51:$D$53,3,0),"")</f>
        <v>Probabilidad</v>
      </c>
      <c r="M116" s="345" t="s">
        <v>132</v>
      </c>
      <c r="N116" s="346">
        <f>+IFERROR(VLOOKUP($M116,'11 FORMULAS'!$B$54:$C$55,2,0),"")</f>
        <v>0.25</v>
      </c>
      <c r="O116" s="347" t="s">
        <v>144</v>
      </c>
      <c r="P116" s="347" t="s">
        <v>237</v>
      </c>
      <c r="Q116" s="347" t="s">
        <v>135</v>
      </c>
      <c r="R116" s="347" t="s">
        <v>245</v>
      </c>
      <c r="S116" s="289">
        <f t="shared" si="4"/>
        <v>0.5</v>
      </c>
      <c r="T116" s="289">
        <f>IF($L116='11 FORMULAS'!$D$51,$C$8-($C$8*$S$8),$C$8)</f>
        <v>0.36</v>
      </c>
      <c r="U116" s="289">
        <f>IF($L116='11 FORMULAS'!$D$53,D116-(D116*S116),D116)</f>
        <v>0</v>
      </c>
      <c r="V116" s="535"/>
      <c r="W116" s="538"/>
      <c r="X116" s="38"/>
    </row>
    <row r="117" spans="1:27" ht="28.5" hidden="1" customHeight="1" x14ac:dyDescent="0.25">
      <c r="A117" s="511" t="e">
        <f>'2 CONTEXTO E IDENTIFICACIÓN'!#REF!</f>
        <v>#REF!</v>
      </c>
      <c r="B117" s="515" t="e">
        <f>+'2 CONTEXTO E IDENTIFICACIÓN'!#REF!</f>
        <v>#REF!</v>
      </c>
      <c r="C117" s="519" t="str">
        <f>+'3 PROBABIL E IMPACTO INHERENTE'!E27</f>
        <v/>
      </c>
      <c r="D117" s="522" t="str">
        <f>+'3 PROBABIL E IMPACTO INHERENTE'!M27</f>
        <v/>
      </c>
      <c r="E117" s="349">
        <v>1</v>
      </c>
      <c r="F117" s="318"/>
      <c r="G117" s="49"/>
      <c r="H117" s="49"/>
      <c r="I117" s="280" t="str">
        <f t="shared" si="3"/>
        <v xml:space="preserve">  </v>
      </c>
      <c r="J117" s="203" t="s">
        <v>131</v>
      </c>
      <c r="K117" s="289">
        <f>+IFERROR(VLOOKUP($J117,'11 FORMULAS'!$B$51:$C$53,2,0),"")</f>
        <v>0.25</v>
      </c>
      <c r="L117" s="289" t="str">
        <f>+IFERROR(VLOOKUP($J117,'11 FORMULAS'!$B$51:$D$53,3,0),"")</f>
        <v>Probabilidad</v>
      </c>
      <c r="M117" s="345" t="s">
        <v>132</v>
      </c>
      <c r="N117" s="346">
        <f>+IFERROR(VLOOKUP($M117,'11 FORMULAS'!$B$54:$C$55,2,0),"")</f>
        <v>0.25</v>
      </c>
      <c r="O117" s="347" t="s">
        <v>144</v>
      </c>
      <c r="P117" s="347" t="s">
        <v>237</v>
      </c>
      <c r="Q117" s="347" t="s">
        <v>135</v>
      </c>
      <c r="R117" s="347" t="s">
        <v>245</v>
      </c>
      <c r="S117" s="289">
        <f t="shared" si="4"/>
        <v>0.5</v>
      </c>
      <c r="T117" s="289">
        <f>IF($L117='11 FORMULAS'!$D$51,$C$8-($C$8*$S$8),$C$8)</f>
        <v>0.36</v>
      </c>
      <c r="U117" s="289" t="str">
        <f>IF($L117='11 FORMULAS'!$D$53,D117-(D117*S117),D117)</f>
        <v/>
      </c>
      <c r="V117" s="534">
        <f>+IF(T122="","",T122)</f>
        <v>0.6</v>
      </c>
      <c r="W117" s="536">
        <f>+IF(U122="","",U122)</f>
        <v>0</v>
      </c>
      <c r="X117" s="38"/>
      <c r="Y117" s="285"/>
      <c r="Z117" s="286"/>
      <c r="AA117" s="286"/>
    </row>
    <row r="118" spans="1:27" ht="28.5" hidden="1" customHeight="1" x14ac:dyDescent="0.25">
      <c r="A118" s="512"/>
      <c r="B118" s="516"/>
      <c r="C118" s="520"/>
      <c r="D118" s="523"/>
      <c r="E118" s="344">
        <v>2</v>
      </c>
      <c r="F118" s="316"/>
      <c r="G118" s="314"/>
      <c r="H118" s="314"/>
      <c r="I118" s="280" t="str">
        <f t="shared" si="3"/>
        <v xml:space="preserve">  </v>
      </c>
      <c r="J118" s="203" t="s">
        <v>131</v>
      </c>
      <c r="K118" s="289">
        <f>+IFERROR(VLOOKUP($J118,'11 FORMULAS'!$B$51:$C$53,2,0),"")</f>
        <v>0.25</v>
      </c>
      <c r="L118" s="289" t="str">
        <f>+IFERROR(VLOOKUP($J118,'11 FORMULAS'!$B$51:$D$53,3,0),"")</f>
        <v>Probabilidad</v>
      </c>
      <c r="M118" s="345" t="s">
        <v>132</v>
      </c>
      <c r="N118" s="346">
        <f>+IFERROR(VLOOKUP($M118,'11 FORMULAS'!$B$54:$C$55,2,0),"")</f>
        <v>0.25</v>
      </c>
      <c r="O118" s="347" t="s">
        <v>144</v>
      </c>
      <c r="P118" s="347" t="s">
        <v>237</v>
      </c>
      <c r="Q118" s="347" t="s">
        <v>135</v>
      </c>
      <c r="R118" s="347" t="s">
        <v>245</v>
      </c>
      <c r="S118" s="289">
        <f t="shared" si="4"/>
        <v>0.5</v>
      </c>
      <c r="T118" s="289">
        <f>IF($L118='11 FORMULAS'!$D$51,$C$8-($C$8*$S$8),$C$8)</f>
        <v>0.36</v>
      </c>
      <c r="U118" s="289">
        <f>IF($L118='11 FORMULAS'!$D$53,D118-(D118*S118),D118)</f>
        <v>0</v>
      </c>
      <c r="V118" s="539"/>
      <c r="W118" s="540"/>
      <c r="X118" s="38"/>
      <c r="Y118" s="285"/>
      <c r="Z118" s="286"/>
      <c r="AA118" s="286"/>
    </row>
    <row r="119" spans="1:27" ht="28.5" hidden="1" customHeight="1" x14ac:dyDescent="0.25">
      <c r="A119" s="512"/>
      <c r="B119" s="516"/>
      <c r="C119" s="520"/>
      <c r="D119" s="523"/>
      <c r="E119" s="344">
        <v>3</v>
      </c>
      <c r="F119" s="316"/>
      <c r="G119" s="314"/>
      <c r="H119" s="314"/>
      <c r="I119" s="280" t="str">
        <f t="shared" si="3"/>
        <v xml:space="preserve">  </v>
      </c>
      <c r="J119" s="203" t="s">
        <v>131</v>
      </c>
      <c r="K119" s="289">
        <f>+IFERROR(VLOOKUP($J119,'11 FORMULAS'!$B$51:$C$53,2,0),"")</f>
        <v>0.25</v>
      </c>
      <c r="L119" s="289" t="str">
        <f>+IFERROR(VLOOKUP($J119,'11 FORMULAS'!$B$51:$D$53,3,0),"")</f>
        <v>Probabilidad</v>
      </c>
      <c r="M119" s="345" t="s">
        <v>132</v>
      </c>
      <c r="N119" s="346">
        <f>+IFERROR(VLOOKUP($M119,'11 FORMULAS'!$B$54:$C$55,2,0),"")</f>
        <v>0.25</v>
      </c>
      <c r="O119" s="347" t="s">
        <v>144</v>
      </c>
      <c r="P119" s="347" t="s">
        <v>237</v>
      </c>
      <c r="Q119" s="347" t="s">
        <v>135</v>
      </c>
      <c r="R119" s="347" t="s">
        <v>245</v>
      </c>
      <c r="S119" s="289">
        <f t="shared" si="4"/>
        <v>0.5</v>
      </c>
      <c r="T119" s="289">
        <f>IF($L119='11 FORMULAS'!$D$51,$C$8-($C$8*$S$8),$C$8)</f>
        <v>0.36</v>
      </c>
      <c r="U119" s="289">
        <f>IF($L119='11 FORMULAS'!$D$53,D119-(D119*S119),D119)</f>
        <v>0</v>
      </c>
      <c r="V119" s="539"/>
      <c r="W119" s="540"/>
      <c r="X119" s="38"/>
      <c r="Y119" s="285"/>
      <c r="Z119" s="286"/>
      <c r="AA119" s="286"/>
    </row>
    <row r="120" spans="1:27" ht="28.5" hidden="1" customHeight="1" x14ac:dyDescent="0.25">
      <c r="A120" s="513"/>
      <c r="B120" s="517"/>
      <c r="C120" s="491"/>
      <c r="D120" s="524"/>
      <c r="E120" s="344">
        <v>4</v>
      </c>
      <c r="F120" s="317"/>
      <c r="G120" s="203"/>
      <c r="H120" s="203"/>
      <c r="I120" s="280" t="str">
        <f t="shared" si="3"/>
        <v xml:space="preserve">  </v>
      </c>
      <c r="J120" s="203" t="s">
        <v>131</v>
      </c>
      <c r="K120" s="289">
        <f>+IFERROR(VLOOKUP($J120,'11 FORMULAS'!$B$51:$C$53,2,0),"")</f>
        <v>0.25</v>
      </c>
      <c r="L120" s="289" t="str">
        <f>+IFERROR(VLOOKUP($J120,'11 FORMULAS'!$B$51:$D$53,3,0),"")</f>
        <v>Probabilidad</v>
      </c>
      <c r="M120" s="345" t="s">
        <v>132</v>
      </c>
      <c r="N120" s="346">
        <f>+IFERROR(VLOOKUP($M120,'11 FORMULAS'!$B$54:$C$55,2,0),"")</f>
        <v>0.25</v>
      </c>
      <c r="O120" s="347" t="s">
        <v>144</v>
      </c>
      <c r="P120" s="347" t="s">
        <v>237</v>
      </c>
      <c r="Q120" s="347" t="s">
        <v>135</v>
      </c>
      <c r="R120" s="347" t="s">
        <v>245</v>
      </c>
      <c r="S120" s="289">
        <f t="shared" si="4"/>
        <v>0.5</v>
      </c>
      <c r="T120" s="289">
        <f>IF($L120='11 FORMULAS'!$D$51,$C$8-($C$8*$S$8),$C$8)</f>
        <v>0.36</v>
      </c>
      <c r="U120" s="289">
        <f>IF($L120='11 FORMULAS'!$D$53,D120-(D120*S120),D120)</f>
        <v>0</v>
      </c>
      <c r="V120" s="533"/>
      <c r="W120" s="537"/>
      <c r="X120" s="38"/>
      <c r="Y120" s="285"/>
      <c r="Z120" s="286"/>
      <c r="AA120" s="286"/>
    </row>
    <row r="121" spans="1:27" ht="28.5" hidden="1" customHeight="1" x14ac:dyDescent="0.25">
      <c r="A121" s="513"/>
      <c r="B121" s="517"/>
      <c r="C121" s="491"/>
      <c r="D121" s="524"/>
      <c r="E121" s="344">
        <v>5</v>
      </c>
      <c r="F121" s="317"/>
      <c r="G121" s="203"/>
      <c r="H121" s="203"/>
      <c r="I121" s="280" t="str">
        <f t="shared" si="3"/>
        <v xml:space="preserve">  </v>
      </c>
      <c r="J121" s="203" t="s">
        <v>131</v>
      </c>
      <c r="K121" s="289">
        <f>+IFERROR(VLOOKUP($J121,'11 FORMULAS'!$B$51:$C$53,2,0),"")</f>
        <v>0.25</v>
      </c>
      <c r="L121" s="289" t="str">
        <f>+IFERROR(VLOOKUP($J121,'11 FORMULAS'!$B$51:$D$53,3,0),"")</f>
        <v>Probabilidad</v>
      </c>
      <c r="M121" s="345" t="s">
        <v>132</v>
      </c>
      <c r="N121" s="346">
        <f>+IFERROR(VLOOKUP($M121,'11 FORMULAS'!$B$54:$C$55,2,0),"")</f>
        <v>0.25</v>
      </c>
      <c r="O121" s="347" t="s">
        <v>144</v>
      </c>
      <c r="P121" s="347" t="s">
        <v>237</v>
      </c>
      <c r="Q121" s="347" t="s">
        <v>135</v>
      </c>
      <c r="R121" s="347" t="s">
        <v>245</v>
      </c>
      <c r="S121" s="289">
        <f t="shared" si="4"/>
        <v>0.5</v>
      </c>
      <c r="T121" s="289">
        <f>IF($L121='11 FORMULAS'!$D$51,$C$8-($C$8*$S$8),$C$8)</f>
        <v>0.36</v>
      </c>
      <c r="U121" s="289">
        <f>IF($L121='11 FORMULAS'!$D$53,D121-(D121*S121),D121)</f>
        <v>0</v>
      </c>
      <c r="V121" s="533"/>
      <c r="W121" s="537"/>
      <c r="X121" s="38"/>
      <c r="Y121" s="285"/>
      <c r="Z121" s="286"/>
      <c r="AA121" s="286"/>
    </row>
    <row r="122" spans="1:27" ht="29.25" hidden="1" customHeight="1" thickBot="1" x14ac:dyDescent="0.3">
      <c r="A122" s="514"/>
      <c r="B122" s="518"/>
      <c r="C122" s="521"/>
      <c r="D122" s="525"/>
      <c r="E122" s="348">
        <v>6</v>
      </c>
      <c r="F122" s="319"/>
      <c r="G122" s="204"/>
      <c r="H122" s="204"/>
      <c r="I122" s="280" t="str">
        <f t="shared" si="3"/>
        <v xml:space="preserve">  </v>
      </c>
      <c r="J122" s="203" t="s">
        <v>153</v>
      </c>
      <c r="K122" s="289">
        <f>+IFERROR(VLOOKUP($J122,'11 FORMULAS'!$B$51:$C$53,2,0),"")</f>
        <v>0.1</v>
      </c>
      <c r="L122" s="289" t="str">
        <f>+IFERROR(VLOOKUP($J122,'11 FORMULAS'!$B$51:$D$53,3,0),"")</f>
        <v>Impacto</v>
      </c>
      <c r="M122" s="345" t="s">
        <v>132</v>
      </c>
      <c r="N122" s="346">
        <f>+IFERROR(VLOOKUP($M122,'11 FORMULAS'!$B$54:$C$55,2,0),"")</f>
        <v>0.25</v>
      </c>
      <c r="O122" s="347" t="s">
        <v>144</v>
      </c>
      <c r="P122" s="347" t="s">
        <v>237</v>
      </c>
      <c r="Q122" s="347" t="s">
        <v>135</v>
      </c>
      <c r="R122" s="347" t="s">
        <v>245</v>
      </c>
      <c r="S122" s="289">
        <f t="shared" si="4"/>
        <v>0.35</v>
      </c>
      <c r="T122" s="289">
        <f>IF($L122='11 FORMULAS'!$D$51,$C$8-($C$8*$S$8),$C$8)</f>
        <v>0.6</v>
      </c>
      <c r="U122" s="289">
        <f>IF($L122='11 FORMULAS'!$D$53,D122-(D122*S122),D122)</f>
        <v>0</v>
      </c>
      <c r="V122" s="535"/>
      <c r="W122" s="538"/>
      <c r="X122" s="38"/>
    </row>
    <row r="123" spans="1:27" ht="28.5" hidden="1" customHeight="1" x14ac:dyDescent="0.25">
      <c r="A123" s="511" t="e">
        <f>'2 CONTEXTO E IDENTIFICACIÓN'!#REF!</f>
        <v>#REF!</v>
      </c>
      <c r="B123" s="515" t="e">
        <f>+'2 CONTEXTO E IDENTIFICACIÓN'!#REF!</f>
        <v>#REF!</v>
      </c>
      <c r="C123" s="519" t="str">
        <f>+'3 PROBABIL E IMPACTO INHERENTE'!E28</f>
        <v/>
      </c>
      <c r="D123" s="522" t="str">
        <f>+'3 PROBABIL E IMPACTO INHERENTE'!M28</f>
        <v/>
      </c>
      <c r="E123" s="349">
        <v>1</v>
      </c>
      <c r="F123" s="318"/>
      <c r="G123" s="49"/>
      <c r="H123" s="49"/>
      <c r="I123" s="280" t="str">
        <f t="shared" si="3"/>
        <v xml:space="preserve">  </v>
      </c>
      <c r="J123" s="203" t="s">
        <v>131</v>
      </c>
      <c r="K123" s="289">
        <f>+IFERROR(VLOOKUP($J123,'11 FORMULAS'!$B$51:$C$53,2,0),"")</f>
        <v>0.25</v>
      </c>
      <c r="L123" s="289" t="str">
        <f>+IFERROR(VLOOKUP($J123,'11 FORMULAS'!$B$51:$D$53,3,0),"")</f>
        <v>Probabilidad</v>
      </c>
      <c r="M123" s="345" t="s">
        <v>132</v>
      </c>
      <c r="N123" s="346">
        <f>+IFERROR(VLOOKUP($M123,'11 FORMULAS'!$B$54:$C$55,2,0),"")</f>
        <v>0.25</v>
      </c>
      <c r="O123" s="347" t="s">
        <v>144</v>
      </c>
      <c r="P123" s="347" t="s">
        <v>237</v>
      </c>
      <c r="Q123" s="347" t="s">
        <v>135</v>
      </c>
      <c r="R123" s="347" t="s">
        <v>245</v>
      </c>
      <c r="S123" s="289">
        <f t="shared" si="4"/>
        <v>0.5</v>
      </c>
      <c r="T123" s="289">
        <f>IF($L123='11 FORMULAS'!$D$51,$C$8-($C$8*$S$8),$C$8)</f>
        <v>0.36</v>
      </c>
      <c r="U123" s="289" t="str">
        <f>IF($L123='11 FORMULAS'!$D$53,D123-(D123*S123),D123)</f>
        <v/>
      </c>
      <c r="V123" s="534">
        <f>+IF(T128="","",T128)</f>
        <v>0.36</v>
      </c>
      <c r="W123" s="536">
        <f>+IF(U128="","",U128)</f>
        <v>0</v>
      </c>
      <c r="X123" s="38"/>
      <c r="Y123" s="285"/>
      <c r="Z123" s="286"/>
      <c r="AA123" s="286"/>
    </row>
    <row r="124" spans="1:27" ht="28.5" hidden="1" customHeight="1" x14ac:dyDescent="0.25">
      <c r="A124" s="512"/>
      <c r="B124" s="516"/>
      <c r="C124" s="520"/>
      <c r="D124" s="523"/>
      <c r="E124" s="344">
        <v>2</v>
      </c>
      <c r="F124" s="316"/>
      <c r="G124" s="314"/>
      <c r="H124" s="314"/>
      <c r="I124" s="280" t="str">
        <f t="shared" si="3"/>
        <v xml:space="preserve">  </v>
      </c>
      <c r="J124" s="203" t="s">
        <v>142</v>
      </c>
      <c r="K124" s="289">
        <f>+IFERROR(VLOOKUP($J124,'11 FORMULAS'!$B$51:$C$53,2,0),"")</f>
        <v>0.15</v>
      </c>
      <c r="L124" s="289" t="str">
        <f>+IFERROR(VLOOKUP($J124,'11 FORMULAS'!$B$51:$D$53,3,0),"")</f>
        <v>Probabilidad</v>
      </c>
      <c r="M124" s="345" t="s">
        <v>132</v>
      </c>
      <c r="N124" s="346">
        <f>+IFERROR(VLOOKUP($M124,'11 FORMULAS'!$B$54:$C$55,2,0),"")</f>
        <v>0.25</v>
      </c>
      <c r="O124" s="347" t="s">
        <v>144</v>
      </c>
      <c r="P124" s="347" t="s">
        <v>237</v>
      </c>
      <c r="Q124" s="347" t="s">
        <v>135</v>
      </c>
      <c r="R124" s="347" t="s">
        <v>245</v>
      </c>
      <c r="S124" s="289">
        <f t="shared" si="4"/>
        <v>0.4</v>
      </c>
      <c r="T124" s="289">
        <f>IF($L124='11 FORMULAS'!$D$51,$C$8-($C$8*$S$8),$C$8)</f>
        <v>0.36</v>
      </c>
      <c r="U124" s="289">
        <f>IF($L124='11 FORMULAS'!$D$53,D124-(D124*S124),D124)</f>
        <v>0</v>
      </c>
      <c r="V124" s="539"/>
      <c r="W124" s="540"/>
      <c r="X124" s="38"/>
      <c r="Y124" s="285"/>
      <c r="Z124" s="286"/>
      <c r="AA124" s="286"/>
    </row>
    <row r="125" spans="1:27" ht="28.5" hidden="1" customHeight="1" x14ac:dyDescent="0.25">
      <c r="A125" s="512"/>
      <c r="B125" s="516"/>
      <c r="C125" s="520"/>
      <c r="D125" s="523"/>
      <c r="E125" s="344">
        <v>3</v>
      </c>
      <c r="F125" s="316"/>
      <c r="G125" s="314"/>
      <c r="H125" s="314"/>
      <c r="I125" s="280" t="str">
        <f t="shared" si="3"/>
        <v xml:space="preserve">  </v>
      </c>
      <c r="J125" s="203" t="s">
        <v>131</v>
      </c>
      <c r="K125" s="289">
        <f>+IFERROR(VLOOKUP($J125,'11 FORMULAS'!$B$51:$C$53,2,0),"")</f>
        <v>0.25</v>
      </c>
      <c r="L125" s="289" t="str">
        <f>+IFERROR(VLOOKUP($J125,'11 FORMULAS'!$B$51:$D$53,3,0),"")</f>
        <v>Probabilidad</v>
      </c>
      <c r="M125" s="345" t="s">
        <v>143</v>
      </c>
      <c r="N125" s="346">
        <f>+IFERROR(VLOOKUP($M125,'11 FORMULAS'!$B$54:$C$55,2,0),"")</f>
        <v>0.15</v>
      </c>
      <c r="O125" s="347" t="s">
        <v>144</v>
      </c>
      <c r="P125" s="347" t="s">
        <v>237</v>
      </c>
      <c r="Q125" s="347" t="s">
        <v>135</v>
      </c>
      <c r="R125" s="347" t="s">
        <v>245</v>
      </c>
      <c r="S125" s="289">
        <f t="shared" si="4"/>
        <v>0.4</v>
      </c>
      <c r="T125" s="289">
        <f>IF($L125='11 FORMULAS'!$D$51,$C$8-($C$8*$S$8),$C$8)</f>
        <v>0.36</v>
      </c>
      <c r="U125" s="289">
        <f>IF($L125='11 FORMULAS'!$D$53,D125-(D125*S125),D125)</f>
        <v>0</v>
      </c>
      <c r="V125" s="539"/>
      <c r="W125" s="540"/>
      <c r="X125" s="38"/>
      <c r="Y125" s="285"/>
      <c r="Z125" s="286"/>
      <c r="AA125" s="286"/>
    </row>
    <row r="126" spans="1:27" ht="28.5" hidden="1" customHeight="1" x14ac:dyDescent="0.25">
      <c r="A126" s="513"/>
      <c r="B126" s="517"/>
      <c r="C126" s="491"/>
      <c r="D126" s="524"/>
      <c r="E126" s="344">
        <v>4</v>
      </c>
      <c r="F126" s="317"/>
      <c r="G126" s="203"/>
      <c r="H126" s="203"/>
      <c r="I126" s="280" t="str">
        <f t="shared" si="3"/>
        <v xml:space="preserve">  </v>
      </c>
      <c r="J126" s="203" t="s">
        <v>131</v>
      </c>
      <c r="K126" s="289">
        <f>+IFERROR(VLOOKUP($J126,'11 FORMULAS'!$B$51:$C$53,2,0),"")</f>
        <v>0.25</v>
      </c>
      <c r="L126" s="289" t="str">
        <f>+IFERROR(VLOOKUP($J126,'11 FORMULAS'!$B$51:$D$53,3,0),"")</f>
        <v>Probabilidad</v>
      </c>
      <c r="M126" s="345" t="s">
        <v>132</v>
      </c>
      <c r="N126" s="346">
        <f>+IFERROR(VLOOKUP($M126,'11 FORMULAS'!$B$54:$C$55,2,0),"")</f>
        <v>0.25</v>
      </c>
      <c r="O126" s="347" t="s">
        <v>144</v>
      </c>
      <c r="P126" s="347" t="s">
        <v>237</v>
      </c>
      <c r="Q126" s="347" t="s">
        <v>135</v>
      </c>
      <c r="R126" s="347" t="s">
        <v>245</v>
      </c>
      <c r="S126" s="289">
        <f t="shared" si="4"/>
        <v>0.5</v>
      </c>
      <c r="T126" s="289">
        <f>IF($L126='11 FORMULAS'!$D$51,$C$8-($C$8*$S$8),$C$8)</f>
        <v>0.36</v>
      </c>
      <c r="U126" s="289">
        <f>IF($L126='11 FORMULAS'!$D$53,D126-(D126*S126),D126)</f>
        <v>0</v>
      </c>
      <c r="V126" s="533"/>
      <c r="W126" s="537"/>
      <c r="X126" s="38"/>
      <c r="Y126" s="285"/>
      <c r="Z126" s="286"/>
      <c r="AA126" s="286"/>
    </row>
    <row r="127" spans="1:27" ht="28.5" hidden="1" customHeight="1" x14ac:dyDescent="0.25">
      <c r="A127" s="513"/>
      <c r="B127" s="517"/>
      <c r="C127" s="491"/>
      <c r="D127" s="524"/>
      <c r="E127" s="344">
        <v>5</v>
      </c>
      <c r="F127" s="317"/>
      <c r="G127" s="203"/>
      <c r="H127" s="203"/>
      <c r="I127" s="280" t="str">
        <f t="shared" si="3"/>
        <v xml:space="preserve">  </v>
      </c>
      <c r="J127" s="203" t="s">
        <v>131</v>
      </c>
      <c r="K127" s="289">
        <f>+IFERROR(VLOOKUP($J127,'11 FORMULAS'!$B$51:$C$53,2,0),"")</f>
        <v>0.25</v>
      </c>
      <c r="L127" s="289" t="str">
        <f>+IFERROR(VLOOKUP($J127,'11 FORMULAS'!$B$51:$D$53,3,0),"")</f>
        <v>Probabilidad</v>
      </c>
      <c r="M127" s="345" t="s">
        <v>132</v>
      </c>
      <c r="N127" s="346">
        <f>+IFERROR(VLOOKUP($M127,'11 FORMULAS'!$B$54:$C$55,2,0),"")</f>
        <v>0.25</v>
      </c>
      <c r="O127" s="347" t="s">
        <v>144</v>
      </c>
      <c r="P127" s="347" t="s">
        <v>237</v>
      </c>
      <c r="Q127" s="347" t="s">
        <v>135</v>
      </c>
      <c r="R127" s="347" t="s">
        <v>245</v>
      </c>
      <c r="S127" s="289">
        <f t="shared" si="4"/>
        <v>0.5</v>
      </c>
      <c r="T127" s="289">
        <f>IF($L127='11 FORMULAS'!$D$51,$C$8-($C$8*$S$8),$C$8)</f>
        <v>0.36</v>
      </c>
      <c r="U127" s="289">
        <f>IF($L127='11 FORMULAS'!$D$53,D127-(D127*S127),D127)</f>
        <v>0</v>
      </c>
      <c r="V127" s="533"/>
      <c r="W127" s="537"/>
      <c r="X127" s="38"/>
      <c r="Y127" s="285"/>
      <c r="Z127" s="286"/>
      <c r="AA127" s="286"/>
    </row>
    <row r="128" spans="1:27" ht="29.25" hidden="1" customHeight="1" thickBot="1" x14ac:dyDescent="0.3">
      <c r="A128" s="514"/>
      <c r="B128" s="518"/>
      <c r="C128" s="521"/>
      <c r="D128" s="525"/>
      <c r="E128" s="348">
        <v>6</v>
      </c>
      <c r="F128" s="319"/>
      <c r="G128" s="204"/>
      <c r="H128" s="204"/>
      <c r="I128" s="280" t="str">
        <f t="shared" si="3"/>
        <v xml:space="preserve">  </v>
      </c>
      <c r="J128" s="203" t="s">
        <v>131</v>
      </c>
      <c r="K128" s="289">
        <f>+IFERROR(VLOOKUP($J128,'11 FORMULAS'!$B$51:$C$53,2,0),"")</f>
        <v>0.25</v>
      </c>
      <c r="L128" s="289" t="str">
        <f>+IFERROR(VLOOKUP($J128,'11 FORMULAS'!$B$51:$D$53,3,0),"")</f>
        <v>Probabilidad</v>
      </c>
      <c r="M128" s="345" t="s">
        <v>132</v>
      </c>
      <c r="N128" s="346">
        <f>+IFERROR(VLOOKUP($M128,'11 FORMULAS'!$B$54:$C$55,2,0),"")</f>
        <v>0.25</v>
      </c>
      <c r="O128" s="347" t="s">
        <v>144</v>
      </c>
      <c r="P128" s="347" t="s">
        <v>237</v>
      </c>
      <c r="Q128" s="347" t="s">
        <v>135</v>
      </c>
      <c r="R128" s="347" t="s">
        <v>245</v>
      </c>
      <c r="S128" s="289">
        <f t="shared" si="4"/>
        <v>0.5</v>
      </c>
      <c r="T128" s="289">
        <f>IF($L128='11 FORMULAS'!$D$51,$C$8-($C$8*$S$8),$C$8)</f>
        <v>0.36</v>
      </c>
      <c r="U128" s="289">
        <f>IF($L128='11 FORMULAS'!$D$53,D128-(D128*S128),D128)</f>
        <v>0</v>
      </c>
      <c r="V128" s="535"/>
      <c r="W128" s="538"/>
      <c r="X128" s="38"/>
    </row>
    <row r="129" hidden="1" x14ac:dyDescent="0.25"/>
    <row r="130" hidden="1" x14ac:dyDescent="0.25"/>
    <row r="131" hidden="1" x14ac:dyDescent="0.25"/>
    <row r="132" hidden="1" x14ac:dyDescent="0.25"/>
    <row r="133" hidden="1" x14ac:dyDescent="0.25"/>
  </sheetData>
  <sheetProtection formatCells="0" formatColumns="0" formatRows="0" sort="0" autoFilter="0" pivotTables="0"/>
  <autoFilter ref="A7:X128" xr:uid="{00000000-0009-0000-0000-000005000000}"/>
  <dataConsolidate/>
  <mergeCells count="138">
    <mergeCell ref="W27:W32"/>
    <mergeCell ref="V27:V32"/>
    <mergeCell ref="V123:V128"/>
    <mergeCell ref="W123:W128"/>
    <mergeCell ref="B3:D3"/>
    <mergeCell ref="B4:D4"/>
    <mergeCell ref="V105:V110"/>
    <mergeCell ref="W105:W110"/>
    <mergeCell ref="V111:V116"/>
    <mergeCell ref="W111:W116"/>
    <mergeCell ref="V117:V122"/>
    <mergeCell ref="W117:W122"/>
    <mergeCell ref="V87:V92"/>
    <mergeCell ref="W87:W92"/>
    <mergeCell ref="V93:V98"/>
    <mergeCell ref="W93:W98"/>
    <mergeCell ref="V99:V104"/>
    <mergeCell ref="W99:W104"/>
    <mergeCell ref="V69:V74"/>
    <mergeCell ref="W69:W74"/>
    <mergeCell ref="V75:V80"/>
    <mergeCell ref="W75:W80"/>
    <mergeCell ref="V81:V86"/>
    <mergeCell ref="W81:W86"/>
    <mergeCell ref="V51:V56"/>
    <mergeCell ref="W51:W56"/>
    <mergeCell ref="V57:V62"/>
    <mergeCell ref="W57:W62"/>
    <mergeCell ref="V63:V68"/>
    <mergeCell ref="W63:W68"/>
    <mergeCell ref="V33:V38"/>
    <mergeCell ref="W33:W38"/>
    <mergeCell ref="V39:V44"/>
    <mergeCell ref="W39:W44"/>
    <mergeCell ref="V45:V50"/>
    <mergeCell ref="W45:W50"/>
    <mergeCell ref="Y4:AA4"/>
    <mergeCell ref="V21:V26"/>
    <mergeCell ref="W21:W26"/>
    <mergeCell ref="V8:V13"/>
    <mergeCell ref="W8:W13"/>
    <mergeCell ref="V14:V19"/>
    <mergeCell ref="W14:W19"/>
    <mergeCell ref="A93:A98"/>
    <mergeCell ref="B93:B98"/>
    <mergeCell ref="C93:C98"/>
    <mergeCell ref="D93:D98"/>
    <mergeCell ref="D81:D86"/>
    <mergeCell ref="A87:A92"/>
    <mergeCell ref="B87:B92"/>
    <mergeCell ref="C87:C92"/>
    <mergeCell ref="D87:D92"/>
    <mergeCell ref="A81:A86"/>
    <mergeCell ref="B81:B86"/>
    <mergeCell ref="C81:C86"/>
    <mergeCell ref="A69:A74"/>
    <mergeCell ref="B69:B74"/>
    <mergeCell ref="C69:C74"/>
    <mergeCell ref="D69:D74"/>
    <mergeCell ref="A75:A80"/>
    <mergeCell ref="A99:A104"/>
    <mergeCell ref="B99:B104"/>
    <mergeCell ref="C99:C104"/>
    <mergeCell ref="D99:D104"/>
    <mergeCell ref="A123:A128"/>
    <mergeCell ref="B123:B128"/>
    <mergeCell ref="C123:C128"/>
    <mergeCell ref="D123:D128"/>
    <mergeCell ref="A105:A110"/>
    <mergeCell ref="B105:B110"/>
    <mergeCell ref="C105:C110"/>
    <mergeCell ref="D105:D110"/>
    <mergeCell ref="A111:A116"/>
    <mergeCell ref="B111:B116"/>
    <mergeCell ref="C111:C116"/>
    <mergeCell ref="D111:D116"/>
    <mergeCell ref="A117:A122"/>
    <mergeCell ref="B117:B122"/>
    <mergeCell ref="C117:C122"/>
    <mergeCell ref="D117:D122"/>
    <mergeCell ref="B75:B80"/>
    <mergeCell ref="C75:C80"/>
    <mergeCell ref="D75:D80"/>
    <mergeCell ref="A57:A62"/>
    <mergeCell ref="B57:B62"/>
    <mergeCell ref="C57:C62"/>
    <mergeCell ref="D57:D62"/>
    <mergeCell ref="A63:A68"/>
    <mergeCell ref="B63:B68"/>
    <mergeCell ref="C63:C68"/>
    <mergeCell ref="D63:D68"/>
    <mergeCell ref="A45:A50"/>
    <mergeCell ref="B45:B50"/>
    <mergeCell ref="C45:C50"/>
    <mergeCell ref="D45:D50"/>
    <mergeCell ref="A51:A56"/>
    <mergeCell ref="B51:B56"/>
    <mergeCell ref="C51:C56"/>
    <mergeCell ref="D51:D56"/>
    <mergeCell ref="A39:A44"/>
    <mergeCell ref="B39:B44"/>
    <mergeCell ref="C39:C44"/>
    <mergeCell ref="D39:D44"/>
    <mergeCell ref="A33:A38"/>
    <mergeCell ref="B33:B38"/>
    <mergeCell ref="C33:C38"/>
    <mergeCell ref="D33:D38"/>
    <mergeCell ref="A8:A13"/>
    <mergeCell ref="B8:B13"/>
    <mergeCell ref="A27:A32"/>
    <mergeCell ref="B27:B32"/>
    <mergeCell ref="C27:C32"/>
    <mergeCell ref="D27:D32"/>
    <mergeCell ref="A14:A19"/>
    <mergeCell ref="B14:B19"/>
    <mergeCell ref="C14:C19"/>
    <mergeCell ref="D14:D19"/>
    <mergeCell ref="A21:A26"/>
    <mergeCell ref="B21:B26"/>
    <mergeCell ref="C21:C26"/>
    <mergeCell ref="D21:D26"/>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1:D21 V21:W21 C27:D27 V27:W27 C33:D35 V33:W35 C39:D41 V39:W41 C45:D45 V45:W45 C51:D51 V51:W51 C57:D57 V57:W57 C63:D63 V63:W63 C69:D71 V69:W71 C75:D75 V75:W75 C81:D81 V81:W81 C87:D87 V87:W87 C93:D93 V93:W93 C99:D99 V99:W99 C105:D107 V105:W107 C111:D113 V111:W113 C117:D119 V117:W119 C123:D125 V123:W125">
    <cfRule type="cellIs" dxfId="55" priority="274" operator="between">
      <formula>$Z$6</formula>
      <formula>$AA$6</formula>
    </cfRule>
    <cfRule type="cellIs" dxfId="54" priority="275" operator="between">
      <formula>$Z$7</formula>
      <formula>$AA$7</formula>
    </cfRule>
    <cfRule type="cellIs" dxfId="53" priority="276" operator="between">
      <formula>$Z$8</formula>
      <formula>$AA$8</formula>
    </cfRule>
    <cfRule type="cellIs" dxfId="52" priority="277" operator="between">
      <formula>$Z$9</formula>
      <formula>$AA$9</formula>
    </cfRule>
    <cfRule type="cellIs" dxfId="51" priority="278" operator="between">
      <formula>$Z$10</formula>
      <formula>$AA$10</formula>
    </cfRule>
  </conditionalFormatting>
  <conditionalFormatting sqref="C20:D20 V20:W20">
    <cfRule type="cellIs" dxfId="50" priority="1" operator="between">
      <formula>$Z$6</formula>
      <formula>$AA$6</formula>
    </cfRule>
    <cfRule type="cellIs" dxfId="49" priority="2" operator="between">
      <formula>$Z$7</formula>
      <formula>$AA$7</formula>
    </cfRule>
    <cfRule type="cellIs" dxfId="48" priority="3" operator="between">
      <formula>$Z$8</formula>
      <formula>$AA$8</formula>
    </cfRule>
    <cfRule type="cellIs" dxfId="47" priority="4" operator="between">
      <formula>$Z$9</formula>
      <formula>$AA$9</formula>
    </cfRule>
    <cfRule type="cellIs" dxfId="46" priority="5"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8" max="16383" man="1"/>
    <brk id="76"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J8:J19 J21:J128</xm:sqref>
        </x14:dataValidation>
        <x14:dataValidation type="list" allowBlank="1" showInputMessage="1" showErrorMessage="1" xr:uid="{00000000-0002-0000-0500-000001000000}">
          <x14:formula1>
            <xm:f>'11 FORMULAS'!$B$54:$B$55</xm:f>
          </x14:formula1>
          <xm:sqref>M8:M19 M21:M128</xm:sqref>
        </x14:dataValidation>
        <x14:dataValidation type="list" allowBlank="1" showInputMessage="1" showErrorMessage="1" xr:uid="{00000000-0002-0000-0500-000002000000}">
          <x14:formula1>
            <xm:f>'11 FORMULAS'!$B$60:$B$62</xm:f>
          </x14:formula1>
          <xm:sqref>O8:O19 O21:O128</xm:sqref>
        </x14:dataValidation>
        <x14:dataValidation type="list" allowBlank="1" showInputMessage="1" showErrorMessage="1" xr:uid="{00000000-0002-0000-0500-000003000000}">
          <x14:formula1>
            <xm:f>'11 FORMULAS'!$B$70:$B$71</xm:f>
          </x14:formula1>
          <xm:sqref>Q8:Q19 Q21:Q128</xm:sqref>
        </x14:dataValidation>
        <x14:dataValidation type="list" allowBlank="1" showInputMessage="1" showErrorMessage="1" xr:uid="{00000000-0002-0000-0500-000004000000}">
          <x14:formula1>
            <xm:f>'11 FORMULAS'!$B$72:$B$74</xm:f>
          </x14:formula1>
          <xm:sqref>R8:R19 R21:R128</xm:sqref>
        </x14:dataValidation>
        <x14:dataValidation type="list" allowBlank="1" showInputMessage="1" showErrorMessage="1" xr:uid="{00000000-0002-0000-0500-000005000000}">
          <x14:formula1>
            <xm:f>'11 FORMULAS'!$B$63:$B$69</xm:f>
          </x14:formula1>
          <xm:sqref>P8:P19 P21:P128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H9" activePane="bottomRight" state="frozen"/>
      <selection pane="topRight" activeCell="B1" sqref="B1"/>
      <selection pane="bottomLeft" activeCell="A7" sqref="A7"/>
      <selection pane="bottomRight" activeCell="K9" sqref="K9"/>
    </sheetView>
  </sheetViews>
  <sheetFormatPr baseColWidth="10" defaultColWidth="0" defaultRowHeight="12.75" zeroHeight="1" x14ac:dyDescent="0.25"/>
  <cols>
    <col min="1" max="1" width="11.42578125" style="65" customWidth="1"/>
    <col min="2" max="2" width="30.42578125" style="70" customWidth="1"/>
    <col min="3" max="3" width="13.42578125" style="70" customWidth="1"/>
    <col min="4" max="4" width="13" style="70" customWidth="1"/>
    <col min="5" max="5" width="16.42578125" style="115" customWidth="1"/>
    <col min="6" max="6" width="11.28515625" style="115" customWidth="1"/>
    <col min="7" max="7" width="15.42578125" style="70" customWidth="1"/>
    <col min="8" max="8" width="10.140625" style="70" bestFit="1" customWidth="1"/>
    <col min="9" max="9" width="7.42578125" style="70" customWidth="1"/>
    <col min="10" max="10" width="14" style="70" customWidth="1"/>
    <col min="11" max="15" width="12.42578125" style="70" customWidth="1"/>
    <col min="16" max="16" width="3.85546875" style="70" customWidth="1"/>
    <col min="17" max="17" width="4.85546875" style="65" customWidth="1"/>
    <col min="18" max="18" width="5.85546875" style="65" bestFit="1" customWidth="1"/>
    <col min="19" max="24" width="14" style="65" customWidth="1"/>
    <col min="25" max="25" width="11.42578125" style="65" customWidth="1"/>
    <col min="26" max="29" width="11.42578125" style="65" hidden="1" customWidth="1"/>
    <col min="30" max="30" width="5.42578125" style="65" hidden="1" customWidth="1"/>
    <col min="31" max="31" width="26.85546875" style="65" hidden="1" customWidth="1"/>
    <col min="32" max="36" width="22.85546875" style="70" hidden="1" customWidth="1"/>
    <col min="37" max="37" width="23.42578125" style="65" hidden="1" customWidth="1"/>
    <col min="38" max="265" width="11.42578125" style="65" hidden="1" customWidth="1"/>
    <col min="266" max="266" width="12.42578125" style="65" hidden="1" customWidth="1"/>
    <col min="267" max="267" width="47" style="65" hidden="1" customWidth="1"/>
    <col min="268" max="268" width="35" style="65" hidden="1" customWidth="1"/>
    <col min="269" max="16384" width="14.42578125" style="65" hidden="1"/>
  </cols>
  <sheetData>
    <row r="1" spans="1:38" s="53" customFormat="1" ht="36" customHeight="1" x14ac:dyDescent="0.2">
      <c r="A1" s="476"/>
      <c r="B1" s="482" t="str">
        <f>+'2 CONTEXTO E IDENTIFICACIÓN'!A1</f>
        <v>MAPA DE RIESGOS</v>
      </c>
      <c r="C1" s="472"/>
      <c r="D1" s="473"/>
      <c r="E1" s="110"/>
      <c r="F1" s="3"/>
      <c r="G1" s="213" t="str">
        <f>+'2 CONTEXTO E IDENTIFICACIÓN'!$I$4</f>
        <v>Elaboración o Actualización:</v>
      </c>
      <c r="H1" s="227">
        <f>'2 CONTEXTO E IDENTIFICACIÓN'!J4</f>
        <v>46003</v>
      </c>
      <c r="I1" s="13"/>
      <c r="J1" s="13"/>
      <c r="AF1" s="54"/>
      <c r="AG1" s="54"/>
      <c r="AH1" s="54"/>
      <c r="AI1" s="54"/>
      <c r="AJ1" s="54"/>
    </row>
    <row r="2" spans="1:38" s="53" customFormat="1" ht="36" customHeight="1" x14ac:dyDescent="0.2">
      <c r="A2" s="476"/>
      <c r="B2" s="482"/>
      <c r="C2" s="39" t="str">
        <f>+'2 CONTEXTO E IDENTIFICACIÓN'!A2</f>
        <v>VERSIÓN:</v>
      </c>
      <c r="D2" s="109">
        <f>'2 CONTEXTO E IDENTIFICACIÓN'!B2</f>
        <v>0</v>
      </c>
      <c r="E2" s="110"/>
      <c r="G2" s="216" t="str">
        <f>+'2 CONTEXTO E IDENTIFICACIÓN'!$E$5</f>
        <v xml:space="preserve">Vigencia: </v>
      </c>
      <c r="H2" s="214">
        <f>'2 CONTEXTO E IDENTIFICACIÓN'!G5</f>
        <v>46023</v>
      </c>
      <c r="I2" s="215" t="s">
        <v>100</v>
      </c>
      <c r="J2" s="212">
        <f>'2 CONTEXTO E IDENTIFICACIÓN'!J5</f>
        <v>46387</v>
      </c>
      <c r="K2" s="56"/>
      <c r="L2" s="56"/>
      <c r="M2" s="56"/>
      <c r="N2" s="56"/>
      <c r="O2" s="56"/>
      <c r="P2" s="55"/>
      <c r="AF2" s="54"/>
      <c r="AG2" s="54"/>
      <c r="AH2" s="54"/>
      <c r="AI2" s="54"/>
      <c r="AJ2" s="54"/>
    </row>
    <row r="3" spans="1:38" s="53" customFormat="1" x14ac:dyDescent="0.2">
      <c r="A3" s="57"/>
      <c r="B3" s="55"/>
      <c r="C3" s="217"/>
      <c r="D3" s="217"/>
      <c r="E3" s="110"/>
      <c r="F3" s="230"/>
      <c r="G3" s="230"/>
      <c r="H3" s="231"/>
      <c r="I3" s="232"/>
      <c r="J3" s="210"/>
      <c r="K3" s="56"/>
      <c r="L3" s="56"/>
      <c r="M3" s="56"/>
      <c r="N3" s="56"/>
      <c r="O3" s="56"/>
      <c r="P3" s="55"/>
      <c r="AF3" s="54"/>
      <c r="AG3" s="54"/>
      <c r="AH3" s="54"/>
      <c r="AI3" s="54"/>
      <c r="AJ3" s="54"/>
    </row>
    <row r="4" spans="1:38" s="53" customFormat="1" ht="15" x14ac:dyDescent="0.2">
      <c r="A4" s="12" t="s">
        <v>95</v>
      </c>
      <c r="B4" s="462" t="str">
        <f>'2 CONTEXTO E IDENTIFICACIÓN'!B4</f>
        <v>SUPERSOLIDARIA</v>
      </c>
      <c r="C4" s="462"/>
      <c r="D4" s="462"/>
      <c r="E4" s="51"/>
      <c r="F4" s="111"/>
      <c r="AF4" s="54"/>
      <c r="AG4" s="54"/>
      <c r="AH4" s="54"/>
      <c r="AI4" s="54"/>
      <c r="AJ4" s="54"/>
    </row>
    <row r="5" spans="1:38" s="53" customFormat="1" ht="30.75" thickBot="1" x14ac:dyDescent="0.25">
      <c r="A5" s="12" t="s">
        <v>96</v>
      </c>
      <c r="B5" s="462" t="str">
        <f>'2 CONTEXTO E IDENTIFICACIÓN'!F4</f>
        <v>PLES</v>
      </c>
      <c r="C5" s="463"/>
      <c r="D5" s="463"/>
      <c r="E5" s="51"/>
      <c r="F5" s="111"/>
      <c r="AF5" s="54"/>
      <c r="AG5" s="54"/>
      <c r="AH5" s="54"/>
      <c r="AI5" s="54"/>
      <c r="AJ5" s="54"/>
    </row>
    <row r="6" spans="1:38" s="53" customFormat="1" ht="13.5" thickBot="1" x14ac:dyDescent="0.25">
      <c r="D6" s="55"/>
      <c r="E6" s="41"/>
      <c r="F6" s="111"/>
      <c r="I6" s="483" t="s">
        <v>320</v>
      </c>
      <c r="J6" s="484"/>
      <c r="K6" s="484"/>
      <c r="L6" s="484"/>
      <c r="M6" s="484"/>
      <c r="N6" s="484"/>
      <c r="O6" s="485"/>
      <c r="R6" s="58"/>
      <c r="S6" s="59"/>
      <c r="T6" s="474" t="s">
        <v>156</v>
      </c>
      <c r="U6" s="474"/>
      <c r="V6" s="474"/>
      <c r="W6" s="474"/>
      <c r="X6" s="475"/>
      <c r="AF6" s="54"/>
      <c r="AG6" s="54"/>
      <c r="AH6" s="54"/>
      <c r="AI6" s="54"/>
      <c r="AJ6" s="54"/>
    </row>
    <row r="7" spans="1:38" x14ac:dyDescent="0.25">
      <c r="A7" s="112"/>
      <c r="B7" s="112"/>
      <c r="C7" s="62"/>
      <c r="D7" s="112"/>
      <c r="E7" s="477" t="s">
        <v>321</v>
      </c>
      <c r="F7" s="477"/>
      <c r="G7" s="477"/>
      <c r="H7" s="62"/>
      <c r="I7" s="63"/>
      <c r="J7" s="64"/>
      <c r="K7" s="474" t="s">
        <v>156</v>
      </c>
      <c r="L7" s="474"/>
      <c r="M7" s="474"/>
      <c r="N7" s="474"/>
      <c r="O7" s="475"/>
      <c r="P7" s="62"/>
      <c r="R7" s="66"/>
      <c r="T7" s="67">
        <v>0.2</v>
      </c>
      <c r="U7" s="67">
        <v>0.4</v>
      </c>
      <c r="V7" s="67">
        <v>0.6</v>
      </c>
      <c r="W7" s="67">
        <v>0.8</v>
      </c>
      <c r="X7" s="68">
        <v>1</v>
      </c>
      <c r="Y7" s="69"/>
      <c r="Z7" s="69"/>
      <c r="AA7" s="69"/>
      <c r="AB7" s="69"/>
      <c r="AC7" s="69"/>
      <c r="AD7" s="69"/>
      <c r="AE7" s="69"/>
    </row>
    <row r="8" spans="1:38" ht="39.950000000000003" customHeight="1" x14ac:dyDescent="0.2">
      <c r="A8" s="73" t="s">
        <v>253</v>
      </c>
      <c r="B8" s="73" t="s">
        <v>295</v>
      </c>
      <c r="C8" s="73" t="s">
        <v>322</v>
      </c>
      <c r="D8" s="73" t="s">
        <v>322</v>
      </c>
      <c r="E8" s="73" t="s">
        <v>137</v>
      </c>
      <c r="F8" s="73" t="s">
        <v>156</v>
      </c>
      <c r="G8" s="73" t="s">
        <v>323</v>
      </c>
      <c r="H8" s="62"/>
      <c r="I8" s="66"/>
      <c r="J8" s="75"/>
      <c r="K8" s="76" t="s">
        <v>270</v>
      </c>
      <c r="L8" s="76" t="s">
        <v>274</v>
      </c>
      <c r="M8" s="76" t="s">
        <v>278</v>
      </c>
      <c r="N8" s="76" t="s">
        <v>283</v>
      </c>
      <c r="O8" s="77" t="s">
        <v>288</v>
      </c>
      <c r="P8" s="62"/>
      <c r="R8" s="66"/>
      <c r="S8" s="78"/>
      <c r="T8" s="79" t="s">
        <v>270</v>
      </c>
      <c r="U8" s="79" t="s">
        <v>274</v>
      </c>
      <c r="V8" s="79" t="s">
        <v>278</v>
      </c>
      <c r="W8" s="79" t="s">
        <v>283</v>
      </c>
      <c r="X8" s="80" t="s">
        <v>288</v>
      </c>
      <c r="AA8" s="69"/>
      <c r="AB8" s="69"/>
      <c r="AC8" s="81"/>
      <c r="AD8" s="81"/>
      <c r="AE8" s="81"/>
      <c r="AF8" s="81"/>
      <c r="AG8" s="81"/>
      <c r="AH8" s="81"/>
      <c r="AI8" s="81"/>
      <c r="AJ8" s="81"/>
      <c r="AK8" s="81"/>
      <c r="AL8" s="81"/>
    </row>
    <row r="9" spans="1:38" ht="93" customHeight="1" x14ac:dyDescent="0.2">
      <c r="A9" s="82" t="str">
        <f>'2 CONTEXTO E IDENTIFICACIÓN'!A9</f>
        <v>PLES-1</v>
      </c>
      <c r="B9" s="83" t="str">
        <f>+'2 CONTEXTO E IDENTIFICACIÓN'!J9</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C9" s="113">
        <f>+'5 VALORACIÓN DEL CONTROL'!T13</f>
        <v>0.36</v>
      </c>
      <c r="D9" s="84">
        <f>+'5 VALORACIÓN DEL CONTROL'!U13</f>
        <v>0.6</v>
      </c>
      <c r="E9" s="114" t="str">
        <f>+IF(C9=0,"",IF(C9&lt;=$R$13,$S$13,IF(C9&lt;=$R$12,$S$12,IF(C9&lt;=$R$11,$S$11,IF(C9&lt;=$R$10,$S$10,IF(C9&lt;=$R$9,$S$9,""))))))</f>
        <v>Baja</v>
      </c>
      <c r="F9" s="114" t="str">
        <f>+IF(D9=0,"",IF(D9&lt;=$T$7,$T$8,IF(D9&lt;=$U$7,$U$8,IF(D9&lt;=$V$7,$V$8,IF(D9&lt;=$W$7,$W$8,IF(D9&lt;=$X$7,$X$8,""))))))</f>
        <v>Moderado</v>
      </c>
      <c r="G9" s="83"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5"/>
      <c r="I9" s="480" t="s">
        <v>137</v>
      </c>
      <c r="J9" s="76" t="s">
        <v>286</v>
      </c>
      <c r="K9" s="86"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6"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6"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6"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7"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5"/>
      <c r="Q9" s="545" t="s">
        <v>137</v>
      </c>
      <c r="R9" s="88">
        <v>1</v>
      </c>
      <c r="S9" s="79" t="s">
        <v>286</v>
      </c>
      <c r="T9" s="86" t="s">
        <v>296</v>
      </c>
      <c r="U9" s="86" t="s">
        <v>296</v>
      </c>
      <c r="V9" s="86" t="s">
        <v>296</v>
      </c>
      <c r="W9" s="86" t="s">
        <v>296</v>
      </c>
      <c r="X9" s="87" t="s">
        <v>297</v>
      </c>
      <c r="AA9" s="69"/>
      <c r="AB9" s="69"/>
      <c r="AC9" s="81"/>
      <c r="AD9" s="81"/>
      <c r="AE9" s="81"/>
      <c r="AF9" s="89"/>
      <c r="AG9" s="89"/>
      <c r="AH9" s="89"/>
      <c r="AI9" s="89"/>
      <c r="AJ9" s="89"/>
      <c r="AK9" s="81"/>
      <c r="AL9" s="81"/>
    </row>
    <row r="10" spans="1:38" ht="114.75" x14ac:dyDescent="0.2">
      <c r="A10" s="82" t="str">
        <f>'2 CONTEXTO E IDENTIFICACIÓN'!A10</f>
        <v>PLES-2</v>
      </c>
      <c r="B10" s="83" t="str">
        <f>+'2 CONTEXTO E IDENTIFICACIÓN'!J10</f>
        <v>Posibilidad de afectación reputacional por la desarticulación a causa de la aprobación del Plan de Acción a causa de   de no integración de las metas establecidas en el Plan Estratégico Institucional y las actividades de los planes del Decreto 612 de 2018</v>
      </c>
      <c r="C10" s="113">
        <f>+'5 VALORACIÓN DEL CONTROL'!T19</f>
        <v>0.36</v>
      </c>
      <c r="D10" s="84">
        <f>+'5 VALORACIÓN DEL CONTROL'!U19</f>
        <v>0.6</v>
      </c>
      <c r="E10" s="114" t="str">
        <f t="shared" ref="E10:E28" si="0">+IF(C10=0,"",IF(C10&lt;=$R$13,$S$13,IF(C10&lt;=$R$12,$S$12,IF(C10&lt;=$R$11,$S$11,IF(C10&lt;=$R$10,$S$10,IF(C10&lt;=$R$9,$S$9,""))))))</f>
        <v>Baja</v>
      </c>
      <c r="F10" s="114" t="str">
        <f t="shared" ref="F10:F28" si="1">+IF(D10=0,"",IF(D10&lt;=$T$7,$T$8,IF(D10&lt;=$U$7,$U$8,IF(D10&lt;=$V$7,$V$8,IF(D10&lt;=$W$7,$W$8,IF(D10&lt;=$X$7,$X$8,""))))))</f>
        <v>Moderado</v>
      </c>
      <c r="G10" s="83"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5"/>
      <c r="I10" s="480"/>
      <c r="J10" s="76" t="s">
        <v>281</v>
      </c>
      <c r="K10" s="90"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0"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6"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6"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7"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5"/>
      <c r="Q10" s="545"/>
      <c r="R10" s="88">
        <v>0.8</v>
      </c>
      <c r="S10" s="79" t="s">
        <v>281</v>
      </c>
      <c r="T10" s="90" t="s">
        <v>278</v>
      </c>
      <c r="U10" s="90" t="s">
        <v>278</v>
      </c>
      <c r="V10" s="86" t="s">
        <v>296</v>
      </c>
      <c r="W10" s="86" t="s">
        <v>296</v>
      </c>
      <c r="X10" s="87" t="s">
        <v>297</v>
      </c>
      <c r="AA10" s="69"/>
      <c r="AB10" s="69"/>
      <c r="AC10" s="81"/>
      <c r="AD10" s="91"/>
      <c r="AE10" s="92"/>
      <c r="AF10" s="89"/>
      <c r="AG10" s="89"/>
      <c r="AH10" s="89"/>
      <c r="AI10" s="89"/>
      <c r="AJ10" s="89"/>
      <c r="AK10" s="81"/>
      <c r="AL10" s="81"/>
    </row>
    <row r="11" spans="1:38" ht="93" customHeight="1" x14ac:dyDescent="0.2">
      <c r="A11" s="82" t="str">
        <f>'2 CONTEXTO E IDENTIFICACIÓN'!A12</f>
        <v>PLES-4</v>
      </c>
      <c r="B11" s="83" t="str">
        <f>+'2 CONTEXTO E IDENTIFICACIÓN'!J12</f>
        <v>Posibilidad de afectación reputacional por falta de coordinación y liderazgo interno relacionado con el tema de innovación
 a causa de   la inexistencia de una politica actualizada que se ajuste  a las necesidades  de la entidad y el sector</v>
      </c>
      <c r="C11" s="113">
        <f>+'5 VALORACIÓN DEL CONTROL'!T26</f>
        <v>0.36</v>
      </c>
      <c r="D11" s="84">
        <f>+'5 VALORACIÓN DEL CONTROL'!U26</f>
        <v>0.6</v>
      </c>
      <c r="E11" s="114" t="str">
        <f t="shared" si="0"/>
        <v>Baja</v>
      </c>
      <c r="F11" s="114" t="str">
        <f t="shared" si="1"/>
        <v>Moderado</v>
      </c>
      <c r="G11" s="83"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5"/>
      <c r="I11" s="480"/>
      <c r="J11" s="76" t="s">
        <v>276</v>
      </c>
      <c r="K11" s="90"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0"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0"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6"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7"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5"/>
      <c r="Q11" s="545"/>
      <c r="R11" s="88">
        <v>0.6</v>
      </c>
      <c r="S11" s="79" t="s">
        <v>276</v>
      </c>
      <c r="T11" s="90" t="s">
        <v>278</v>
      </c>
      <c r="U11" s="90" t="s">
        <v>278</v>
      </c>
      <c r="V11" s="90" t="s">
        <v>278</v>
      </c>
      <c r="W11" s="86" t="s">
        <v>296</v>
      </c>
      <c r="X11" s="87" t="s">
        <v>297</v>
      </c>
      <c r="AA11" s="69"/>
      <c r="AB11" s="69"/>
      <c r="AC11" s="81"/>
      <c r="AD11" s="91"/>
      <c r="AE11" s="92"/>
      <c r="AF11" s="89"/>
      <c r="AG11" s="89"/>
      <c r="AH11" s="89"/>
      <c r="AI11" s="89"/>
      <c r="AJ11" s="93"/>
      <c r="AK11" s="81"/>
      <c r="AL11" s="81"/>
    </row>
    <row r="12" spans="1:38" ht="93" customHeight="1" x14ac:dyDescent="0.2">
      <c r="A12" s="82" t="e">
        <f>'2 CONTEXTO E IDENTIFICACIÓN'!#REF!</f>
        <v>#REF!</v>
      </c>
      <c r="B12" s="83" t="e">
        <f>+'2 CONTEXTO E IDENTIFICACIÓN'!#REF!</f>
        <v>#REF!</v>
      </c>
      <c r="C12" s="113">
        <f>+'5 VALORACIÓN DEL CONTROL'!T32</f>
        <v>0</v>
      </c>
      <c r="D12" s="84">
        <f>+'5 VALORACIÓN DEL CONTROL'!U32</f>
        <v>0</v>
      </c>
      <c r="E12" s="114" t="str">
        <f t="shared" si="0"/>
        <v/>
      </c>
      <c r="F12" s="114" t="str">
        <f t="shared" si="1"/>
        <v/>
      </c>
      <c r="G12" s="83"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
      </c>
      <c r="H12" s="85"/>
      <c r="I12" s="480"/>
      <c r="J12" s="76" t="s">
        <v>272</v>
      </c>
      <c r="K12" s="94"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0"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0"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PLES-1 PLES-2 PLES-4                 </v>
      </c>
      <c r="N12" s="86"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7"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5"/>
      <c r="Q12" s="545"/>
      <c r="R12" s="88">
        <v>0.4</v>
      </c>
      <c r="S12" s="79" t="s">
        <v>272</v>
      </c>
      <c r="T12" s="94" t="s">
        <v>298</v>
      </c>
      <c r="U12" s="90" t="s">
        <v>278</v>
      </c>
      <c r="V12" s="90" t="s">
        <v>278</v>
      </c>
      <c r="W12" s="86" t="s">
        <v>296</v>
      </c>
      <c r="X12" s="87" t="s">
        <v>297</v>
      </c>
      <c r="AA12" s="69"/>
      <c r="AB12" s="69"/>
      <c r="AC12" s="81"/>
      <c r="AD12" s="91"/>
      <c r="AE12" s="92"/>
      <c r="AF12" s="89"/>
      <c r="AG12" s="89"/>
      <c r="AH12" s="89"/>
      <c r="AI12" s="93"/>
      <c r="AJ12" s="89"/>
      <c r="AK12" s="81"/>
      <c r="AL12" s="81"/>
    </row>
    <row r="13" spans="1:38" ht="13.5" thickBot="1" x14ac:dyDescent="0.25">
      <c r="A13" s="82" t="e">
        <f>'2 CONTEXTO E IDENTIFICACIÓN'!#REF!</f>
        <v>#REF!</v>
      </c>
      <c r="B13" s="83" t="e">
        <f>+'2 CONTEXTO E IDENTIFICACIÓN'!#REF!</f>
        <v>#REF!</v>
      </c>
      <c r="C13" s="113">
        <f>+'5 VALORACIÓN DEL CONTROL'!T38</f>
        <v>0</v>
      </c>
      <c r="D13" s="84">
        <f>+'5 VALORACIÓN DEL CONTROL'!U38</f>
        <v>0</v>
      </c>
      <c r="E13" s="114" t="str">
        <f t="shared" si="0"/>
        <v/>
      </c>
      <c r="F13" s="114" t="str">
        <f t="shared" si="1"/>
        <v/>
      </c>
      <c r="G13" s="83" t="str">
        <f t="shared" si="2"/>
        <v/>
      </c>
      <c r="H13" s="85"/>
      <c r="I13" s="481"/>
      <c r="J13" s="95" t="s">
        <v>268</v>
      </c>
      <c r="K13" s="96"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6"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7"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98"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99"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5"/>
      <c r="Q13" s="545"/>
      <c r="R13" s="100">
        <v>0.2</v>
      </c>
      <c r="S13" s="101" t="s">
        <v>268</v>
      </c>
      <c r="T13" s="96" t="s">
        <v>298</v>
      </c>
      <c r="U13" s="96" t="s">
        <v>298</v>
      </c>
      <c r="V13" s="97" t="s">
        <v>278</v>
      </c>
      <c r="W13" s="98" t="s">
        <v>296</v>
      </c>
      <c r="X13" s="99" t="s">
        <v>297</v>
      </c>
      <c r="AA13" s="69"/>
      <c r="AB13" s="69"/>
      <c r="AC13" s="81"/>
      <c r="AD13" s="91"/>
      <c r="AE13" s="92"/>
      <c r="AF13" s="89"/>
      <c r="AG13" s="89"/>
      <c r="AH13" s="89"/>
      <c r="AI13" s="102"/>
      <c r="AJ13" s="89"/>
      <c r="AK13" s="81"/>
      <c r="AL13" s="81"/>
    </row>
    <row r="14" spans="1:38" ht="93" hidden="1" customHeight="1" x14ac:dyDescent="0.2">
      <c r="A14" s="82" t="e">
        <f>'2 CONTEXTO E IDENTIFICACIÓN'!#REF!</f>
        <v>#REF!</v>
      </c>
      <c r="B14" s="83" t="e">
        <f>+'2 CONTEXTO E IDENTIFICACIÓN'!#REF!</f>
        <v>#REF!</v>
      </c>
      <c r="C14" s="113">
        <f>+'5 VALORACIÓN DEL CONTROL'!T44</f>
        <v>0.36</v>
      </c>
      <c r="D14" s="84" t="str">
        <f>+'5 VALORACIÓN DEL CONTROL'!U44</f>
        <v/>
      </c>
      <c r="E14" s="114" t="str">
        <f t="shared" si="0"/>
        <v>Baja</v>
      </c>
      <c r="F14" s="114" t="str">
        <f t="shared" si="1"/>
        <v/>
      </c>
      <c r="G14" s="83" t="b">
        <f t="shared" si="2"/>
        <v>0</v>
      </c>
      <c r="H14" s="85"/>
      <c r="I14" s="85"/>
      <c r="J14" s="85"/>
      <c r="K14" s="85"/>
      <c r="L14" s="85"/>
      <c r="M14" s="85"/>
      <c r="N14" s="85"/>
      <c r="O14" s="85"/>
      <c r="P14" s="85"/>
      <c r="AA14" s="69"/>
      <c r="AB14" s="69"/>
      <c r="AC14" s="81"/>
      <c r="AD14" s="91"/>
      <c r="AE14" s="92"/>
      <c r="AF14" s="89"/>
      <c r="AG14" s="89"/>
      <c r="AH14" s="89"/>
      <c r="AI14" s="89"/>
      <c r="AJ14" s="89"/>
      <c r="AK14" s="81"/>
      <c r="AL14" s="81"/>
    </row>
    <row r="15" spans="1:38" ht="93" hidden="1" customHeight="1" x14ac:dyDescent="0.2">
      <c r="A15" s="82" t="e">
        <f>'2 CONTEXTO E IDENTIFICACIÓN'!#REF!</f>
        <v>#REF!</v>
      </c>
      <c r="B15" s="83" t="e">
        <f>+'2 CONTEXTO E IDENTIFICACIÓN'!#REF!</f>
        <v>#REF!</v>
      </c>
      <c r="C15" s="113">
        <f>+'5 VALORACIÓN DEL CONTROL'!T50</f>
        <v>0.36</v>
      </c>
      <c r="D15" s="84" t="str">
        <f>+'5 VALORACIÓN DEL CONTROL'!U50</f>
        <v/>
      </c>
      <c r="E15" s="114" t="str">
        <f t="shared" si="0"/>
        <v>Baja</v>
      </c>
      <c r="F15" s="114" t="str">
        <f t="shared" si="1"/>
        <v/>
      </c>
      <c r="G15" s="83" t="b">
        <f t="shared" si="2"/>
        <v>0</v>
      </c>
      <c r="H15" s="85"/>
      <c r="I15" s="85"/>
      <c r="J15" s="85"/>
      <c r="K15" s="85"/>
      <c r="L15" s="85"/>
      <c r="M15" s="85"/>
      <c r="N15" s="85"/>
      <c r="O15" s="85"/>
      <c r="P15" s="85"/>
      <c r="T15" s="73" t="s">
        <v>299</v>
      </c>
      <c r="V15" s="69"/>
      <c r="W15" s="69"/>
      <c r="X15" s="69"/>
      <c r="Y15" s="69"/>
      <c r="Z15" s="69"/>
      <c r="AA15" s="69"/>
      <c r="AB15" s="69"/>
      <c r="AC15" s="81"/>
      <c r="AD15" s="91"/>
      <c r="AE15" s="81"/>
      <c r="AF15" s="92"/>
      <c r="AG15" s="92"/>
      <c r="AH15" s="92"/>
      <c r="AI15" s="92"/>
      <c r="AJ15" s="92"/>
      <c r="AK15" s="81"/>
      <c r="AL15" s="81"/>
    </row>
    <row r="16" spans="1:38" ht="93" hidden="1" customHeight="1" x14ac:dyDescent="0.2">
      <c r="A16" s="82" t="e">
        <f>'2 CONTEXTO E IDENTIFICACIÓN'!#REF!</f>
        <v>#REF!</v>
      </c>
      <c r="B16" s="83" t="e">
        <f>+'2 CONTEXTO E IDENTIFICACIÓN'!#REF!</f>
        <v>#REF!</v>
      </c>
      <c r="C16" s="113">
        <f>+'5 VALORACIÓN DEL CONTROL'!T56</f>
        <v>0.36</v>
      </c>
      <c r="D16" s="84" t="str">
        <f>+'5 VALORACIÓN DEL CONTROL'!U56</f>
        <v/>
      </c>
      <c r="E16" s="114" t="str">
        <f t="shared" si="0"/>
        <v>Baja</v>
      </c>
      <c r="F16" s="114" t="str">
        <f t="shared" si="1"/>
        <v/>
      </c>
      <c r="G16" s="83" t="b">
        <f t="shared" si="2"/>
        <v>0</v>
      </c>
      <c r="H16" s="85"/>
      <c r="I16" s="85"/>
      <c r="J16" s="85"/>
      <c r="K16" s="85"/>
      <c r="L16" s="85"/>
      <c r="M16" s="85"/>
      <c r="N16" s="85"/>
      <c r="O16" s="85"/>
      <c r="P16" s="85"/>
      <c r="T16" s="103" t="s">
        <v>297</v>
      </c>
      <c r="V16" s="69"/>
      <c r="W16" s="69"/>
      <c r="X16" s="69"/>
      <c r="Y16" s="69"/>
      <c r="Z16" s="69"/>
      <c r="AA16" s="69"/>
      <c r="AB16" s="69"/>
      <c r="AC16" s="81"/>
      <c r="AD16" s="81"/>
      <c r="AE16" s="81"/>
      <c r="AF16" s="89"/>
      <c r="AG16" s="89"/>
      <c r="AH16" s="89"/>
      <c r="AI16" s="89"/>
      <c r="AJ16" s="89"/>
      <c r="AK16" s="81"/>
      <c r="AL16" s="81"/>
    </row>
    <row r="17" spans="1:38" ht="93" hidden="1" customHeight="1" x14ac:dyDescent="0.2">
      <c r="A17" s="82" t="e">
        <f>'2 CONTEXTO E IDENTIFICACIÓN'!#REF!</f>
        <v>#REF!</v>
      </c>
      <c r="B17" s="83" t="e">
        <f>+'2 CONTEXTO E IDENTIFICACIÓN'!#REF!</f>
        <v>#REF!</v>
      </c>
      <c r="C17" s="113">
        <f>+'5 VALORACIÓN DEL CONTROL'!T62</f>
        <v>0.36</v>
      </c>
      <c r="D17" s="84" t="str">
        <f>+'5 VALORACIÓN DEL CONTROL'!U62</f>
        <v/>
      </c>
      <c r="E17" s="114" t="str">
        <f t="shared" si="0"/>
        <v>Baja</v>
      </c>
      <c r="F17" s="114" t="str">
        <f t="shared" si="1"/>
        <v/>
      </c>
      <c r="G17" s="83" t="b">
        <f t="shared" si="2"/>
        <v>0</v>
      </c>
      <c r="H17" s="85"/>
      <c r="I17" s="85"/>
      <c r="J17" s="85"/>
      <c r="K17" s="85"/>
      <c r="L17" s="85"/>
      <c r="M17" s="85"/>
      <c r="N17" s="85"/>
      <c r="O17" s="85"/>
      <c r="P17" s="85"/>
      <c r="T17" s="86" t="s">
        <v>296</v>
      </c>
      <c r="U17" s="69"/>
      <c r="V17" s="69"/>
      <c r="W17" s="69"/>
      <c r="X17" s="69"/>
      <c r="Y17" s="69"/>
      <c r="Z17" s="69"/>
      <c r="AA17" s="69"/>
      <c r="AB17" s="69"/>
      <c r="AC17" s="81"/>
      <c r="AD17" s="81"/>
      <c r="AE17" s="81"/>
      <c r="AF17" s="89"/>
      <c r="AG17" s="89"/>
      <c r="AH17" s="89"/>
      <c r="AI17" s="89"/>
      <c r="AJ17" s="89"/>
      <c r="AK17" s="81"/>
      <c r="AL17" s="81"/>
    </row>
    <row r="18" spans="1:38" ht="93" hidden="1" customHeight="1" x14ac:dyDescent="0.2">
      <c r="A18" s="82" t="e">
        <f>'2 CONTEXTO E IDENTIFICACIÓN'!#REF!</f>
        <v>#REF!</v>
      </c>
      <c r="B18" s="83" t="e">
        <f>+'2 CONTEXTO E IDENTIFICACIÓN'!#REF!</f>
        <v>#REF!</v>
      </c>
      <c r="C18" s="113">
        <f>+'5 VALORACIÓN DEL CONTROL'!T68</f>
        <v>0.36</v>
      </c>
      <c r="D18" s="84" t="str">
        <f>+'5 VALORACIÓN DEL CONTROL'!U68</f>
        <v/>
      </c>
      <c r="E18" s="114" t="str">
        <f t="shared" si="0"/>
        <v>Baja</v>
      </c>
      <c r="F18" s="114" t="str">
        <f t="shared" si="1"/>
        <v/>
      </c>
      <c r="G18" s="83" t="b">
        <f t="shared" si="2"/>
        <v>0</v>
      </c>
      <c r="H18" s="85"/>
      <c r="I18" s="85"/>
      <c r="J18" s="85"/>
      <c r="K18" s="85"/>
      <c r="L18" s="85"/>
      <c r="M18" s="85"/>
      <c r="N18" s="85"/>
      <c r="O18" s="85"/>
      <c r="P18" s="85"/>
      <c r="S18" s="104"/>
      <c r="T18" s="90" t="s">
        <v>278</v>
      </c>
      <c r="U18" s="104"/>
      <c r="V18" s="104"/>
      <c r="W18" s="104"/>
      <c r="X18" s="104"/>
      <c r="Y18" s="104"/>
      <c r="Z18" s="104"/>
      <c r="AA18" s="104"/>
      <c r="AB18" s="104"/>
      <c r="AC18" s="81"/>
      <c r="AD18" s="81"/>
      <c r="AE18" s="105"/>
      <c r="AF18" s="105"/>
      <c r="AG18" s="105"/>
      <c r="AH18" s="105"/>
      <c r="AI18" s="105"/>
      <c r="AJ18" s="105"/>
      <c r="AK18" s="81"/>
      <c r="AL18" s="81"/>
    </row>
    <row r="19" spans="1:38" ht="93" hidden="1" customHeight="1" x14ac:dyDescent="0.2">
      <c r="A19" s="82" t="e">
        <f>'2 CONTEXTO E IDENTIFICACIÓN'!#REF!</f>
        <v>#REF!</v>
      </c>
      <c r="B19" s="83" t="e">
        <f>+'2 CONTEXTO E IDENTIFICACIÓN'!#REF!</f>
        <v>#REF!</v>
      </c>
      <c r="C19" s="113">
        <f>+'5 VALORACIÓN DEL CONTROL'!T74</f>
        <v>0.36</v>
      </c>
      <c r="D19" s="84" t="str">
        <f>+'5 VALORACIÓN DEL CONTROL'!U74</f>
        <v/>
      </c>
      <c r="E19" s="114" t="str">
        <f t="shared" si="0"/>
        <v>Baja</v>
      </c>
      <c r="F19" s="114" t="str">
        <f t="shared" si="1"/>
        <v/>
      </c>
      <c r="G19" s="83" t="b">
        <f t="shared" si="2"/>
        <v>0</v>
      </c>
      <c r="H19" s="85"/>
      <c r="I19" s="85"/>
      <c r="J19" s="85"/>
      <c r="K19" s="85"/>
      <c r="L19" s="85"/>
      <c r="M19" s="85"/>
      <c r="N19" s="85"/>
      <c r="O19" s="85"/>
      <c r="P19" s="85"/>
      <c r="S19" s="104"/>
      <c r="T19" s="94" t="s">
        <v>298</v>
      </c>
      <c r="AA19" s="104"/>
      <c r="AB19" s="104"/>
      <c r="AC19" s="81"/>
      <c r="AD19" s="81"/>
      <c r="AE19" s="81"/>
      <c r="AF19" s="89"/>
      <c r="AG19" s="89"/>
      <c r="AH19" s="89"/>
      <c r="AI19" s="89"/>
      <c r="AJ19" s="89"/>
      <c r="AK19" s="81"/>
      <c r="AL19" s="81"/>
    </row>
    <row r="20" spans="1:38" ht="93" hidden="1" customHeight="1" x14ac:dyDescent="0.2">
      <c r="A20" s="82" t="e">
        <f>'2 CONTEXTO E IDENTIFICACIÓN'!#REF!</f>
        <v>#REF!</v>
      </c>
      <c r="B20" s="83" t="e">
        <f>+'2 CONTEXTO E IDENTIFICACIÓN'!#REF!</f>
        <v>#REF!</v>
      </c>
      <c r="C20" s="113">
        <f>+'5 VALORACIÓN DEL CONTROL'!T80</f>
        <v>0.36</v>
      </c>
      <c r="D20" s="84" t="str">
        <f>+'5 VALORACIÓN DEL CONTROL'!U80</f>
        <v/>
      </c>
      <c r="E20" s="114" t="str">
        <f t="shared" si="0"/>
        <v>Baja</v>
      </c>
      <c r="F20" s="114" t="str">
        <f t="shared" si="1"/>
        <v/>
      </c>
      <c r="G20" s="83" t="b">
        <f t="shared" si="2"/>
        <v>0</v>
      </c>
      <c r="H20" s="85"/>
      <c r="I20" s="85"/>
      <c r="J20" s="85"/>
      <c r="K20" s="85"/>
      <c r="L20" s="85"/>
      <c r="M20" s="85"/>
      <c r="N20" s="85"/>
      <c r="O20" s="85"/>
      <c r="P20" s="85"/>
      <c r="Q20" s="106"/>
      <c r="R20" s="106"/>
      <c r="S20" s="104"/>
      <c r="AA20" s="104"/>
      <c r="AB20" s="104"/>
      <c r="AC20" s="81"/>
      <c r="AD20" s="81"/>
      <c r="AE20" s="81"/>
      <c r="AF20" s="89"/>
      <c r="AG20" s="89"/>
      <c r="AH20" s="89"/>
      <c r="AI20" s="89"/>
      <c r="AJ20" s="89"/>
      <c r="AK20" s="81"/>
      <c r="AL20" s="81"/>
    </row>
    <row r="21" spans="1:38" ht="93" hidden="1" customHeight="1" x14ac:dyDescent="0.2">
      <c r="A21" s="82" t="e">
        <f>'2 CONTEXTO E IDENTIFICACIÓN'!#REF!</f>
        <v>#REF!</v>
      </c>
      <c r="B21" s="83" t="e">
        <f>+'2 CONTEXTO E IDENTIFICACIÓN'!#REF!</f>
        <v>#REF!</v>
      </c>
      <c r="C21" s="113">
        <f>+'5 VALORACIÓN DEL CONTROL'!T86</f>
        <v>0.36</v>
      </c>
      <c r="D21" s="84" t="str">
        <f>+'5 VALORACIÓN DEL CONTROL'!U86</f>
        <v/>
      </c>
      <c r="E21" s="114" t="str">
        <f t="shared" si="0"/>
        <v>Baja</v>
      </c>
      <c r="F21" s="114" t="str">
        <f t="shared" si="1"/>
        <v/>
      </c>
      <c r="G21" s="83" t="b">
        <f t="shared" si="2"/>
        <v>0</v>
      </c>
      <c r="H21" s="85"/>
      <c r="I21" s="85"/>
      <c r="J21" s="85"/>
      <c r="K21" s="85"/>
      <c r="L21" s="85"/>
      <c r="M21" s="85"/>
      <c r="N21" s="85"/>
      <c r="O21" s="85"/>
      <c r="P21" s="85"/>
      <c r="Q21" s="106"/>
      <c r="R21" s="106"/>
      <c r="S21" s="107"/>
      <c r="AA21" s="104"/>
      <c r="AB21" s="104"/>
      <c r="AC21" s="81"/>
      <c r="AD21" s="102"/>
      <c r="AE21" s="102"/>
      <c r="AF21" s="102"/>
      <c r="AG21" s="102"/>
      <c r="AH21" s="102"/>
      <c r="AI21" s="102"/>
      <c r="AJ21" s="89"/>
      <c r="AK21" s="81"/>
      <c r="AL21" s="81"/>
    </row>
    <row r="22" spans="1:38" ht="93" hidden="1" customHeight="1" x14ac:dyDescent="0.2">
      <c r="A22" s="82" t="e">
        <f>'2 CONTEXTO E IDENTIFICACIÓN'!#REF!</f>
        <v>#REF!</v>
      </c>
      <c r="B22" s="83" t="e">
        <f>+'2 CONTEXTO E IDENTIFICACIÓN'!#REF!</f>
        <v>#REF!</v>
      </c>
      <c r="C22" s="113">
        <f>+'5 VALORACIÓN DEL CONTROL'!T92</f>
        <v>0.36</v>
      </c>
      <c r="D22" s="84" t="str">
        <f>+'5 VALORACIÓN DEL CONTROL'!U92</f>
        <v/>
      </c>
      <c r="E22" s="114" t="str">
        <f t="shared" si="0"/>
        <v>Baja</v>
      </c>
      <c r="F22" s="114" t="str">
        <f t="shared" si="1"/>
        <v/>
      </c>
      <c r="G22" s="83" t="b">
        <f t="shared" si="2"/>
        <v>0</v>
      </c>
      <c r="H22" s="85"/>
      <c r="I22" s="85"/>
      <c r="J22" s="85"/>
      <c r="K22" s="85"/>
      <c r="L22" s="85"/>
      <c r="M22" s="85"/>
      <c r="N22" s="85"/>
      <c r="O22" s="85"/>
      <c r="P22" s="85"/>
      <c r="Q22" s="106"/>
      <c r="R22" s="106"/>
      <c r="AC22" s="81"/>
      <c r="AD22" s="108"/>
      <c r="AE22" s="108"/>
      <c r="AF22" s="108"/>
      <c r="AG22" s="108"/>
      <c r="AH22" s="108"/>
      <c r="AI22" s="108"/>
      <c r="AJ22" s="89"/>
      <c r="AK22" s="81"/>
      <c r="AL22" s="81"/>
    </row>
    <row r="23" spans="1:38" ht="93" hidden="1" customHeight="1" x14ac:dyDescent="0.2">
      <c r="A23" s="82" t="e">
        <f>'2 CONTEXTO E IDENTIFICACIÓN'!#REF!</f>
        <v>#REF!</v>
      </c>
      <c r="B23" s="83" t="e">
        <f>+'2 CONTEXTO E IDENTIFICACIÓN'!#REF!</f>
        <v>#REF!</v>
      </c>
      <c r="C23" s="113">
        <f>+'5 VALORACIÓN DEL CONTROL'!T98</f>
        <v>0.36</v>
      </c>
      <c r="D23" s="84">
        <f>+'5 VALORACIÓN DEL CONTROL'!U98</f>
        <v>0</v>
      </c>
      <c r="E23" s="114" t="str">
        <f t="shared" si="0"/>
        <v>Baja</v>
      </c>
      <c r="F23" s="114" t="str">
        <f t="shared" si="1"/>
        <v/>
      </c>
      <c r="G23" s="83" t="b">
        <f t="shared" si="2"/>
        <v>0</v>
      </c>
      <c r="H23" s="85"/>
      <c r="I23" s="85"/>
      <c r="J23" s="85"/>
      <c r="K23" s="85"/>
      <c r="L23" s="85"/>
      <c r="M23" s="85"/>
      <c r="N23" s="85"/>
      <c r="O23" s="85"/>
      <c r="P23" s="85"/>
      <c r="Q23" s="106"/>
      <c r="R23" s="106"/>
      <c r="AC23" s="81"/>
      <c r="AD23" s="102"/>
      <c r="AE23" s="102"/>
      <c r="AF23" s="102"/>
      <c r="AG23" s="102"/>
      <c r="AH23" s="102"/>
      <c r="AI23" s="102"/>
      <c r="AJ23" s="89"/>
      <c r="AK23" s="81"/>
      <c r="AL23" s="81"/>
    </row>
    <row r="24" spans="1:38" ht="93" hidden="1" customHeight="1" x14ac:dyDescent="0.2">
      <c r="A24" s="82" t="e">
        <f>'2 CONTEXTO E IDENTIFICACIÓN'!#REF!</f>
        <v>#REF!</v>
      </c>
      <c r="B24" s="83" t="e">
        <f>+'2 CONTEXTO E IDENTIFICACIÓN'!#REF!</f>
        <v>#REF!</v>
      </c>
      <c r="C24" s="113">
        <f>+'5 VALORACIÓN DEL CONTROL'!T104</f>
        <v>0.36</v>
      </c>
      <c r="D24" s="84">
        <f>+'5 VALORACIÓN DEL CONTROL'!U104</f>
        <v>0</v>
      </c>
      <c r="E24" s="114" t="str">
        <f t="shared" si="0"/>
        <v>Baja</v>
      </c>
      <c r="F24" s="114" t="str">
        <f t="shared" si="1"/>
        <v/>
      </c>
      <c r="G24" s="83" t="b">
        <f t="shared" si="2"/>
        <v>0</v>
      </c>
      <c r="H24" s="85"/>
      <c r="I24" s="85"/>
      <c r="J24" s="85"/>
      <c r="K24" s="85"/>
      <c r="L24" s="85"/>
      <c r="M24" s="85"/>
      <c r="N24" s="85"/>
      <c r="O24" s="85"/>
      <c r="P24" s="85"/>
      <c r="AC24" s="81"/>
      <c r="AD24" s="102"/>
      <c r="AE24" s="102"/>
      <c r="AF24" s="102"/>
      <c r="AG24" s="102"/>
      <c r="AH24" s="102"/>
      <c r="AI24" s="102"/>
      <c r="AJ24" s="89"/>
      <c r="AK24" s="81"/>
      <c r="AL24" s="81"/>
    </row>
    <row r="25" spans="1:38" ht="93" hidden="1" customHeight="1" x14ac:dyDescent="0.25">
      <c r="A25" s="82" t="e">
        <f>'2 CONTEXTO E IDENTIFICACIÓN'!#REF!</f>
        <v>#REF!</v>
      </c>
      <c r="B25" s="83" t="e">
        <f>+'2 CONTEXTO E IDENTIFICACIÓN'!#REF!</f>
        <v>#REF!</v>
      </c>
      <c r="C25" s="113">
        <f>+'5 VALORACIÓN DEL CONTROL'!T110</f>
        <v>0.36</v>
      </c>
      <c r="D25" s="84">
        <f>+'5 VALORACIÓN DEL CONTROL'!U110</f>
        <v>0</v>
      </c>
      <c r="E25" s="114" t="str">
        <f t="shared" si="0"/>
        <v>Baja</v>
      </c>
      <c r="F25" s="114" t="str">
        <f t="shared" si="1"/>
        <v/>
      </c>
      <c r="G25" s="83" t="b">
        <f t="shared" si="2"/>
        <v>0</v>
      </c>
      <c r="H25" s="85"/>
      <c r="I25" s="85"/>
      <c r="J25" s="85"/>
      <c r="K25" s="85"/>
      <c r="L25" s="85"/>
      <c r="M25" s="85"/>
      <c r="N25" s="85"/>
      <c r="O25" s="85"/>
      <c r="P25" s="85"/>
    </row>
    <row r="26" spans="1:38" ht="93" hidden="1" customHeight="1" x14ac:dyDescent="0.25">
      <c r="A26" s="82" t="e">
        <f>'2 CONTEXTO E IDENTIFICACIÓN'!#REF!</f>
        <v>#REF!</v>
      </c>
      <c r="B26" s="83" t="e">
        <f>+'2 CONTEXTO E IDENTIFICACIÓN'!#REF!</f>
        <v>#REF!</v>
      </c>
      <c r="C26" s="113">
        <f>+'5 VALORACIÓN DEL CONTROL'!T116</f>
        <v>0.36</v>
      </c>
      <c r="D26" s="84">
        <f>+'5 VALORACIÓN DEL CONTROL'!U116</f>
        <v>0</v>
      </c>
      <c r="E26" s="114" t="str">
        <f t="shared" si="0"/>
        <v>Baja</v>
      </c>
      <c r="F26" s="114" t="str">
        <f t="shared" si="1"/>
        <v/>
      </c>
      <c r="G26" s="83" t="b">
        <f t="shared" si="2"/>
        <v>0</v>
      </c>
      <c r="H26" s="85"/>
      <c r="I26" s="85"/>
      <c r="J26" s="85"/>
      <c r="K26" s="85"/>
      <c r="L26" s="85"/>
      <c r="M26" s="85"/>
      <c r="N26" s="85"/>
      <c r="O26" s="85"/>
      <c r="P26" s="85"/>
    </row>
    <row r="27" spans="1:38" ht="93" hidden="1" customHeight="1" x14ac:dyDescent="0.25">
      <c r="A27" s="82" t="e">
        <f>'2 CONTEXTO E IDENTIFICACIÓN'!#REF!</f>
        <v>#REF!</v>
      </c>
      <c r="B27" s="83" t="e">
        <f>+'2 CONTEXTO E IDENTIFICACIÓN'!#REF!</f>
        <v>#REF!</v>
      </c>
      <c r="C27" s="113">
        <f>+'5 VALORACIÓN DEL CONTROL'!T122</f>
        <v>0.6</v>
      </c>
      <c r="D27" s="84">
        <f>+'5 VALORACIÓN DEL CONTROL'!U122</f>
        <v>0</v>
      </c>
      <c r="E27" s="114" t="str">
        <f t="shared" si="0"/>
        <v>Media</v>
      </c>
      <c r="F27" s="114" t="str">
        <f t="shared" si="1"/>
        <v/>
      </c>
      <c r="G27" s="83" t="b">
        <f t="shared" si="2"/>
        <v>0</v>
      </c>
      <c r="H27" s="85"/>
      <c r="I27" s="85"/>
      <c r="J27" s="85"/>
      <c r="K27" s="85"/>
      <c r="L27" s="85"/>
      <c r="M27" s="85"/>
      <c r="N27" s="85"/>
      <c r="O27" s="85"/>
      <c r="P27" s="85"/>
    </row>
    <row r="28" spans="1:38" ht="93" hidden="1" customHeight="1" x14ac:dyDescent="0.25">
      <c r="A28" s="82" t="e">
        <f>'2 CONTEXTO E IDENTIFICACIÓN'!#REF!</f>
        <v>#REF!</v>
      </c>
      <c r="B28" s="83" t="e">
        <f>+'2 CONTEXTO E IDENTIFICACIÓN'!#REF!</f>
        <v>#REF!</v>
      </c>
      <c r="C28" s="113">
        <f>+'5 VALORACIÓN DEL CONTROL'!T128</f>
        <v>0.36</v>
      </c>
      <c r="D28" s="84">
        <f>+'5 VALORACIÓN DEL CONTROL'!U128</f>
        <v>0</v>
      </c>
      <c r="E28" s="114" t="str">
        <f t="shared" si="0"/>
        <v>Baja</v>
      </c>
      <c r="F28" s="114" t="str">
        <f t="shared" si="1"/>
        <v/>
      </c>
      <c r="G28" s="83" t="b">
        <f t="shared" si="2"/>
        <v>0</v>
      </c>
      <c r="H28" s="85"/>
      <c r="I28" s="85"/>
      <c r="J28" s="85"/>
      <c r="K28" s="85"/>
      <c r="L28" s="85"/>
      <c r="M28" s="85"/>
      <c r="N28" s="85"/>
      <c r="O28" s="85"/>
      <c r="P28" s="85"/>
    </row>
    <row r="29" spans="1:38" ht="14.45" customHeight="1" x14ac:dyDescent="0.25">
      <c r="B29" s="65"/>
      <c r="D29" s="65"/>
      <c r="G29" s="65"/>
      <c r="H29" s="65"/>
      <c r="I29" s="65"/>
      <c r="J29" s="65"/>
      <c r="K29" s="65"/>
      <c r="L29" s="65"/>
      <c r="M29" s="65"/>
      <c r="N29" s="65"/>
      <c r="O29" s="65"/>
      <c r="P29" s="65"/>
      <c r="AA29" s="70"/>
      <c r="AB29" s="70"/>
      <c r="AC29" s="70"/>
      <c r="AD29" s="70"/>
      <c r="AE29" s="70"/>
      <c r="AF29" s="65"/>
      <c r="AG29" s="65"/>
      <c r="AH29" s="65"/>
      <c r="AI29" s="65"/>
      <c r="AJ29" s="65"/>
    </row>
    <row r="30" spans="1:38" ht="39" hidden="1" customHeight="1" x14ac:dyDescent="0.25">
      <c r="B30" s="65"/>
      <c r="D30" s="65"/>
      <c r="G30" s="65"/>
      <c r="H30" s="65"/>
      <c r="I30" s="65"/>
      <c r="J30" s="65"/>
      <c r="K30" s="65"/>
      <c r="L30" s="65"/>
      <c r="M30" s="65"/>
      <c r="N30" s="65"/>
      <c r="O30" s="65"/>
      <c r="P30" s="65"/>
      <c r="AA30" s="70"/>
      <c r="AB30" s="70"/>
      <c r="AC30" s="70"/>
      <c r="AD30" s="70"/>
      <c r="AE30" s="70"/>
      <c r="AF30" s="65"/>
      <c r="AG30" s="65"/>
      <c r="AH30" s="65"/>
      <c r="AI30" s="65"/>
      <c r="AJ30" s="65"/>
    </row>
    <row r="31" spans="1:38" ht="19.5" hidden="1" customHeight="1" x14ac:dyDescent="0.25">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hidden="1" customHeight="1" x14ac:dyDescent="0.25">
      <c r="B32" s="65"/>
      <c r="D32" s="65"/>
      <c r="G32" s="65"/>
      <c r="H32" s="65"/>
      <c r="I32" s="65"/>
      <c r="J32" s="65"/>
      <c r="K32" s="65"/>
      <c r="L32" s="65"/>
      <c r="M32" s="65"/>
      <c r="N32" s="65"/>
      <c r="O32" s="65"/>
      <c r="P32" s="65"/>
      <c r="AA32" s="70"/>
      <c r="AB32" s="70"/>
      <c r="AC32" s="70"/>
      <c r="AD32" s="70"/>
      <c r="AE32" s="70"/>
      <c r="AF32" s="65"/>
      <c r="AG32" s="65"/>
      <c r="AH32" s="65"/>
      <c r="AI32" s="65"/>
      <c r="AJ32" s="65"/>
    </row>
    <row r="33" spans="3:31" s="65" customFormat="1" ht="19.5" hidden="1" customHeight="1" x14ac:dyDescent="0.25">
      <c r="C33" s="70"/>
      <c r="E33" s="115"/>
      <c r="F33" s="115"/>
      <c r="AA33" s="70"/>
      <c r="AB33" s="70"/>
      <c r="AC33" s="70"/>
      <c r="AD33" s="70"/>
      <c r="AE33" s="70"/>
    </row>
    <row r="34" spans="3:31" s="65" customFormat="1" ht="19.5" hidden="1" customHeight="1" x14ac:dyDescent="0.25">
      <c r="C34" s="70"/>
      <c r="E34" s="115"/>
      <c r="F34" s="115"/>
      <c r="AA34" s="70"/>
      <c r="AB34" s="70"/>
      <c r="AC34" s="70"/>
      <c r="AD34" s="70"/>
      <c r="AE34" s="70"/>
    </row>
    <row r="35" spans="3:31" s="65" customFormat="1" ht="19.5" hidden="1" customHeight="1" x14ac:dyDescent="0.25">
      <c r="C35" s="70"/>
      <c r="E35" s="115"/>
      <c r="F35" s="115"/>
      <c r="AA35" s="70"/>
      <c r="AB35" s="70"/>
      <c r="AC35" s="70"/>
      <c r="AD35" s="70"/>
      <c r="AE35" s="70"/>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45" priority="1" operator="equal">
      <formula>$S$13</formula>
    </cfRule>
    <cfRule type="cellIs" dxfId="44" priority="2" operator="equal">
      <formula>$S$12</formula>
    </cfRule>
    <cfRule type="cellIs" dxfId="43" priority="3" operator="equal">
      <formula>$S$11</formula>
    </cfRule>
    <cfRule type="cellIs" dxfId="42" priority="4" operator="equal">
      <formula>$S$10</formula>
    </cfRule>
    <cfRule type="cellIs" dxfId="41" priority="5" operator="equal">
      <formula>$S$9</formula>
    </cfRule>
  </conditionalFormatting>
  <conditionalFormatting sqref="F9:F28">
    <cfRule type="cellIs" dxfId="40" priority="6" operator="equal">
      <formula>$T$8</formula>
    </cfRule>
    <cfRule type="cellIs" dxfId="39" priority="7" operator="equal">
      <formula>$U$8</formula>
    </cfRule>
    <cfRule type="cellIs" dxfId="38" priority="8" operator="equal">
      <formula>$V$8</formula>
    </cfRule>
    <cfRule type="cellIs" dxfId="37" priority="9" operator="equal">
      <formula>$W$8</formula>
    </cfRule>
    <cfRule type="cellIs" dxfId="36" priority="10" operator="equal">
      <formula>$X$8</formula>
    </cfRule>
  </conditionalFormatting>
  <conditionalFormatting sqref="G9:G28">
    <cfRule type="cellIs" dxfId="35" priority="16" operator="equal">
      <formula>$T$16</formula>
    </cfRule>
    <cfRule type="cellIs" dxfId="34" priority="17" operator="equal">
      <formula>$T$17</formula>
    </cfRule>
    <cfRule type="cellIs" dxfId="33" priority="18" operator="equal">
      <formula>$T$18</formula>
    </cfRule>
    <cfRule type="cellIs" dxfId="32"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K16" sqref="K16"/>
    </sheetView>
  </sheetViews>
  <sheetFormatPr baseColWidth="10" defaultColWidth="0" defaultRowHeight="12.75" zeroHeight="1" x14ac:dyDescent="0.25"/>
  <cols>
    <col min="1" max="1" width="11.42578125" style="65" customWidth="1"/>
    <col min="2" max="2" width="9.140625" style="70" bestFit="1" customWidth="1"/>
    <col min="3" max="4" width="15.42578125" style="70" customWidth="1"/>
    <col min="5" max="6" width="15.42578125" style="115" customWidth="1"/>
    <col min="7" max="7" width="15.42578125" style="70" customWidth="1"/>
    <col min="8" max="8" width="3.85546875" style="70" customWidth="1"/>
    <col min="9" max="9" width="7.42578125" style="70" customWidth="1"/>
    <col min="10" max="10" width="14" style="70" customWidth="1"/>
    <col min="11" max="15" width="12.42578125" style="70" customWidth="1"/>
    <col min="16" max="16" width="3.85546875" style="70" customWidth="1"/>
    <col min="17" max="17" width="4.85546875" style="65" hidden="1" customWidth="1"/>
    <col min="18" max="18" width="6.140625" style="65" hidden="1" customWidth="1"/>
    <col min="19" max="24" width="14" style="65" hidden="1" customWidth="1"/>
    <col min="25" max="29" width="11.42578125" style="65" customWidth="1"/>
    <col min="30" max="30" width="5.42578125" style="65" bestFit="1" customWidth="1"/>
    <col min="31" max="31" width="26.85546875" style="65" customWidth="1"/>
    <col min="32" max="32" width="22.85546875" style="70" customWidth="1"/>
    <col min="33" max="36" width="22.85546875" style="70" hidden="1" customWidth="1"/>
    <col min="37" max="37" width="23.42578125" style="65" hidden="1" customWidth="1"/>
    <col min="38" max="265" width="11.42578125" style="65" hidden="1" customWidth="1"/>
    <col min="266" max="266" width="12.42578125" style="65" hidden="1" customWidth="1"/>
    <col min="267" max="267" width="47" style="65" hidden="1" customWidth="1"/>
    <col min="268" max="268" width="35" style="65" hidden="1" customWidth="1"/>
    <col min="269" max="16384" width="14.42578125" style="65" hidden="1"/>
  </cols>
  <sheetData>
    <row r="1" spans="1:38" s="53" customFormat="1" ht="36" customHeight="1" x14ac:dyDescent="0.2">
      <c r="A1" s="476"/>
      <c r="B1" s="482" t="str">
        <f>+'2 CONTEXTO E IDENTIFICACIÓN'!A1</f>
        <v>MAPA DE RIESGOS</v>
      </c>
      <c r="C1" s="482"/>
      <c r="D1" s="482"/>
      <c r="E1" s="472"/>
      <c r="F1" s="473"/>
      <c r="J1" s="213" t="str">
        <f>+'2 CONTEXTO E IDENTIFICACIÓN'!$I$4</f>
        <v>Elaboración o Actualización:</v>
      </c>
      <c r="K1" s="227">
        <f>'2 CONTEXTO E IDENTIFICACIÓN'!J4</f>
        <v>46003</v>
      </c>
      <c r="L1" s="13"/>
      <c r="M1" s="13"/>
      <c r="AF1" s="54"/>
      <c r="AG1" s="54"/>
      <c r="AH1" s="54"/>
      <c r="AI1" s="54"/>
      <c r="AJ1" s="54"/>
    </row>
    <row r="2" spans="1:38" s="53" customFormat="1" ht="36" customHeight="1" x14ac:dyDescent="0.2">
      <c r="A2" s="476"/>
      <c r="B2" s="482"/>
      <c r="C2" s="482"/>
      <c r="D2" s="482"/>
      <c r="E2" s="39" t="str">
        <f>+'2 CONTEXTO E IDENTIFICACIÓN'!A2</f>
        <v>VERSIÓN:</v>
      </c>
      <c r="F2" s="109">
        <f>'2 CONTEXTO E IDENTIFICACIÓN'!B2</f>
        <v>0</v>
      </c>
      <c r="G2" s="55"/>
      <c r="H2" s="55"/>
      <c r="J2" s="216" t="str">
        <f>+'2 CONTEXTO E IDENTIFICACIÓN'!$E$5</f>
        <v xml:space="preserve">Vigencia: </v>
      </c>
      <c r="K2" s="214">
        <f>'2 CONTEXTO E IDENTIFICACIÓN'!G5</f>
        <v>46023</v>
      </c>
      <c r="L2" s="215" t="s">
        <v>100</v>
      </c>
      <c r="M2" s="212">
        <f>'2 CONTEXTO E IDENTIFICACIÓN'!J5</f>
        <v>46387</v>
      </c>
      <c r="N2" s="56"/>
      <c r="O2" s="56"/>
      <c r="P2" s="55"/>
      <c r="AF2" s="54"/>
      <c r="AG2" s="54"/>
      <c r="AH2" s="54"/>
      <c r="AI2" s="54"/>
      <c r="AJ2" s="54"/>
    </row>
    <row r="3" spans="1:38" s="53" customFormat="1" x14ac:dyDescent="0.2">
      <c r="A3" s="57"/>
      <c r="B3" s="55"/>
      <c r="C3" s="55"/>
      <c r="D3" s="55"/>
      <c r="E3" s="217"/>
      <c r="F3" s="217"/>
      <c r="G3" s="55"/>
      <c r="H3" s="55"/>
      <c r="N3" s="56"/>
      <c r="O3" s="56"/>
      <c r="P3" s="55"/>
      <c r="AF3" s="54"/>
      <c r="AG3" s="54"/>
      <c r="AH3" s="54"/>
      <c r="AI3" s="54"/>
      <c r="AJ3" s="54"/>
    </row>
    <row r="4" spans="1:38" s="53" customFormat="1" ht="17.45" customHeight="1" x14ac:dyDescent="0.2">
      <c r="A4" s="12" t="s">
        <v>95</v>
      </c>
      <c r="B4" s="462" t="str">
        <f>'2 CONTEXTO E IDENTIFICACIÓN'!B4</f>
        <v>SUPERSOLIDARIA</v>
      </c>
      <c r="C4" s="462"/>
      <c r="D4" s="462"/>
      <c r="E4" s="51"/>
      <c r="F4" s="217"/>
      <c r="G4" s="55"/>
      <c r="H4" s="55"/>
      <c r="I4" s="218"/>
      <c r="J4" s="218"/>
      <c r="K4" s="219"/>
      <c r="L4" s="219"/>
      <c r="M4" s="219"/>
      <c r="N4" s="56"/>
      <c r="O4" s="56"/>
      <c r="P4" s="55"/>
      <c r="AF4" s="54"/>
      <c r="AG4" s="54"/>
      <c r="AH4" s="54"/>
      <c r="AI4" s="54"/>
      <c r="AJ4" s="54"/>
    </row>
    <row r="5" spans="1:38" s="53" customFormat="1" ht="33" customHeight="1" x14ac:dyDescent="0.2">
      <c r="A5" s="12" t="s">
        <v>96</v>
      </c>
      <c r="B5" s="462" t="str">
        <f>'2 CONTEXTO E IDENTIFICACIÓN'!F4</f>
        <v>PLES</v>
      </c>
      <c r="C5" s="463"/>
      <c r="D5" s="463"/>
      <c r="E5" s="51"/>
      <c r="F5" s="217"/>
      <c r="G5" s="55"/>
      <c r="H5" s="55"/>
      <c r="I5" s="218"/>
      <c r="J5" s="218"/>
      <c r="K5" s="219"/>
      <c r="L5" s="219"/>
      <c r="M5" s="219"/>
      <c r="N5" s="56"/>
      <c r="O5" s="56"/>
      <c r="P5" s="55"/>
      <c r="AF5" s="54"/>
      <c r="AG5" s="54"/>
      <c r="AH5" s="54"/>
      <c r="AI5" s="54"/>
      <c r="AJ5" s="54"/>
    </row>
    <row r="6" spans="1:38" s="53" customFormat="1" ht="15" thickBot="1" x14ac:dyDescent="0.25">
      <c r="D6" s="51"/>
      <c r="E6" s="51"/>
      <c r="F6" s="111"/>
      <c r="AF6" s="54"/>
      <c r="AG6" s="54"/>
      <c r="AH6" s="54"/>
      <c r="AI6" s="54"/>
      <c r="AJ6" s="54"/>
    </row>
    <row r="7" spans="1:38" s="53" customFormat="1" ht="13.5" thickBot="1" x14ac:dyDescent="0.25">
      <c r="A7" s="546" t="s">
        <v>292</v>
      </c>
      <c r="B7" s="547"/>
      <c r="C7" s="547"/>
      <c r="D7" s="547"/>
      <c r="E7" s="547"/>
      <c r="F7" s="547"/>
      <c r="G7" s="548"/>
      <c r="I7" s="546" t="s">
        <v>320</v>
      </c>
      <c r="J7" s="547"/>
      <c r="K7" s="547"/>
      <c r="L7" s="547"/>
      <c r="M7" s="547"/>
      <c r="N7" s="547"/>
      <c r="O7" s="548"/>
      <c r="R7" s="58"/>
      <c r="S7" s="59"/>
      <c r="T7" s="474" t="s">
        <v>156</v>
      </c>
      <c r="U7" s="474"/>
      <c r="V7" s="474"/>
      <c r="W7" s="474"/>
      <c r="X7" s="475"/>
      <c r="AF7" s="54"/>
      <c r="AG7" s="54"/>
      <c r="AH7" s="54"/>
      <c r="AI7" s="54"/>
      <c r="AJ7" s="54"/>
    </row>
    <row r="8" spans="1:38" x14ac:dyDescent="0.25">
      <c r="A8" s="63"/>
      <c r="B8" s="64"/>
      <c r="C8" s="474" t="s">
        <v>156</v>
      </c>
      <c r="D8" s="474"/>
      <c r="E8" s="474"/>
      <c r="F8" s="474"/>
      <c r="G8" s="475"/>
      <c r="H8" s="62"/>
      <c r="I8" s="63"/>
      <c r="J8" s="64"/>
      <c r="K8" s="474" t="s">
        <v>156</v>
      </c>
      <c r="L8" s="474"/>
      <c r="M8" s="474"/>
      <c r="N8" s="474"/>
      <c r="O8" s="475"/>
      <c r="P8" s="62"/>
      <c r="R8" s="66"/>
      <c r="T8" s="67">
        <v>0.2</v>
      </c>
      <c r="U8" s="67">
        <v>0.4</v>
      </c>
      <c r="V8" s="67">
        <v>0.6</v>
      </c>
      <c r="W8" s="67">
        <v>0.8</v>
      </c>
      <c r="X8" s="68">
        <v>1</v>
      </c>
      <c r="Y8" s="69"/>
      <c r="Z8" s="69"/>
      <c r="AA8" s="69"/>
      <c r="AB8" s="69"/>
      <c r="AC8" s="69"/>
      <c r="AD8" s="69"/>
      <c r="AE8" s="69"/>
    </row>
    <row r="9" spans="1:38" x14ac:dyDescent="0.2">
      <c r="A9" s="66"/>
      <c r="B9" s="75"/>
      <c r="C9" s="76" t="s">
        <v>270</v>
      </c>
      <c r="D9" s="76" t="s">
        <v>274</v>
      </c>
      <c r="E9" s="76" t="s">
        <v>278</v>
      </c>
      <c r="F9" s="76" t="s">
        <v>283</v>
      </c>
      <c r="G9" s="77" t="s">
        <v>288</v>
      </c>
      <c r="H9" s="62"/>
      <c r="I9" s="66"/>
      <c r="J9" s="75"/>
      <c r="K9" s="76" t="s">
        <v>270</v>
      </c>
      <c r="L9" s="76" t="s">
        <v>274</v>
      </c>
      <c r="M9" s="76" t="s">
        <v>278</v>
      </c>
      <c r="N9" s="76" t="s">
        <v>283</v>
      </c>
      <c r="O9" s="77" t="s">
        <v>288</v>
      </c>
      <c r="P9" s="62"/>
      <c r="R9" s="66"/>
      <c r="S9" s="78"/>
      <c r="T9" s="79" t="s">
        <v>270</v>
      </c>
      <c r="U9" s="79" t="s">
        <v>274</v>
      </c>
      <c r="V9" s="79" t="s">
        <v>278</v>
      </c>
      <c r="W9" s="79" t="s">
        <v>283</v>
      </c>
      <c r="X9" s="80" t="s">
        <v>288</v>
      </c>
      <c r="AA9" s="69"/>
      <c r="AB9" s="69"/>
      <c r="AC9" s="81"/>
      <c r="AD9" s="81"/>
      <c r="AE9" s="81"/>
      <c r="AF9" s="81"/>
      <c r="AG9" s="81"/>
      <c r="AH9" s="81"/>
      <c r="AI9" s="81"/>
      <c r="AJ9" s="81"/>
      <c r="AK9" s="81"/>
      <c r="AL9" s="81"/>
    </row>
    <row r="10" spans="1:38" ht="55.5" customHeight="1" x14ac:dyDescent="0.2">
      <c r="A10" s="480" t="s">
        <v>137</v>
      </c>
      <c r="B10" s="76" t="s">
        <v>286</v>
      </c>
      <c r="C10" s="86" t="str">
        <f>+'4 MAPA CALOR INHERENTE'!I9</f>
        <v xml:space="preserve">                   </v>
      </c>
      <c r="D10" s="86" t="str">
        <f>+'4 MAPA CALOR INHERENTE'!J9</f>
        <v xml:space="preserve">                   </v>
      </c>
      <c r="E10" s="86" t="str">
        <f>+'4 MAPA CALOR INHERENTE'!K9</f>
        <v xml:space="preserve">                   </v>
      </c>
      <c r="F10" s="86" t="str">
        <f>+'4 MAPA CALOR INHERENTE'!L9</f>
        <v xml:space="preserve">                   </v>
      </c>
      <c r="G10" s="87" t="str">
        <f>+'4 MAPA CALOR INHERENTE'!M9</f>
        <v xml:space="preserve">                   </v>
      </c>
      <c r="H10" s="85"/>
      <c r="I10" s="480" t="s">
        <v>137</v>
      </c>
      <c r="J10" s="76" t="s">
        <v>286</v>
      </c>
      <c r="K10" s="86" t="str">
        <f>+'6 MAPA CALOR RESIDUAL'!K9</f>
        <v xml:space="preserve">                   </v>
      </c>
      <c r="L10" s="86" t="str">
        <f>+'6 MAPA CALOR RESIDUAL'!L9</f>
        <v xml:space="preserve">                   </v>
      </c>
      <c r="M10" s="86" t="str">
        <f>+'6 MAPA CALOR RESIDUAL'!M9</f>
        <v xml:space="preserve">                   </v>
      </c>
      <c r="N10" s="86" t="str">
        <f>+'6 MAPA CALOR RESIDUAL'!N9</f>
        <v xml:space="preserve">                   </v>
      </c>
      <c r="O10" s="87" t="str">
        <f>+'6 MAPA CALOR RESIDUAL'!O9</f>
        <v xml:space="preserve">                   </v>
      </c>
      <c r="P10" s="85"/>
      <c r="Q10" s="545" t="s">
        <v>137</v>
      </c>
      <c r="R10" s="88">
        <v>1</v>
      </c>
      <c r="S10" s="79" t="s">
        <v>286</v>
      </c>
      <c r="T10" s="86" t="s">
        <v>296</v>
      </c>
      <c r="U10" s="86" t="s">
        <v>296</v>
      </c>
      <c r="V10" s="86" t="s">
        <v>296</v>
      </c>
      <c r="W10" s="86" t="s">
        <v>296</v>
      </c>
      <c r="X10" s="87" t="s">
        <v>297</v>
      </c>
      <c r="AA10" s="69"/>
      <c r="AB10" s="69"/>
      <c r="AC10" s="81"/>
      <c r="AD10" s="81"/>
      <c r="AE10" s="81"/>
      <c r="AF10" s="89"/>
      <c r="AG10" s="89"/>
      <c r="AH10" s="89"/>
      <c r="AI10" s="89"/>
      <c r="AJ10" s="89"/>
      <c r="AK10" s="81"/>
      <c r="AL10" s="81"/>
    </row>
    <row r="11" spans="1:38" ht="55.5" customHeight="1" x14ac:dyDescent="0.2">
      <c r="A11" s="480"/>
      <c r="B11" s="76" t="s">
        <v>281</v>
      </c>
      <c r="C11" s="90" t="str">
        <f>+'4 MAPA CALOR INHERENTE'!I10</f>
        <v xml:space="preserve">                   </v>
      </c>
      <c r="D11" s="90" t="str">
        <f>+'4 MAPA CALOR INHERENTE'!J10</f>
        <v xml:space="preserve">                   </v>
      </c>
      <c r="E11" s="86" t="str">
        <f>+'4 MAPA CALOR INHERENTE'!K10</f>
        <v xml:space="preserve">                   </v>
      </c>
      <c r="F11" s="86" t="str">
        <f>+'4 MAPA CALOR INHERENTE'!L10</f>
        <v xml:space="preserve">                   </v>
      </c>
      <c r="G11" s="87" t="str">
        <f>+'4 MAPA CALOR INHERENTE'!M10</f>
        <v xml:space="preserve">                   </v>
      </c>
      <c r="H11" s="85"/>
      <c r="I11" s="480"/>
      <c r="J11" s="76" t="s">
        <v>281</v>
      </c>
      <c r="K11" s="90" t="str">
        <f>+'6 MAPA CALOR RESIDUAL'!K10</f>
        <v xml:space="preserve">                   </v>
      </c>
      <c r="L11" s="90" t="str">
        <f>+'6 MAPA CALOR RESIDUAL'!L10</f>
        <v xml:space="preserve">                   </v>
      </c>
      <c r="M11" s="86" t="str">
        <f>+'6 MAPA CALOR RESIDUAL'!M10</f>
        <v xml:space="preserve">                   </v>
      </c>
      <c r="N11" s="86" t="str">
        <f>+'6 MAPA CALOR RESIDUAL'!N10</f>
        <v xml:space="preserve">                   </v>
      </c>
      <c r="O11" s="87" t="str">
        <f>+'6 MAPA CALOR RESIDUAL'!O10</f>
        <v xml:space="preserve">                   </v>
      </c>
      <c r="P11" s="85"/>
      <c r="Q11" s="545"/>
      <c r="R11" s="88">
        <v>0.8</v>
      </c>
      <c r="S11" s="79" t="s">
        <v>281</v>
      </c>
      <c r="T11" s="90" t="s">
        <v>278</v>
      </c>
      <c r="U11" s="90" t="s">
        <v>278</v>
      </c>
      <c r="V11" s="86" t="s">
        <v>296</v>
      </c>
      <c r="W11" s="86" t="s">
        <v>296</v>
      </c>
      <c r="X11" s="87" t="s">
        <v>297</v>
      </c>
      <c r="AA11" s="69"/>
      <c r="AB11" s="69"/>
      <c r="AC11" s="81"/>
      <c r="AD11" s="91"/>
      <c r="AE11" s="92"/>
      <c r="AF11" s="89"/>
      <c r="AG11" s="89"/>
      <c r="AH11" s="89"/>
      <c r="AI11" s="89"/>
      <c r="AJ11" s="89"/>
      <c r="AK11" s="81"/>
      <c r="AL11" s="81"/>
    </row>
    <row r="12" spans="1:38" ht="55.5" customHeight="1" x14ac:dyDescent="0.2">
      <c r="A12" s="480"/>
      <c r="B12" s="76" t="s">
        <v>276</v>
      </c>
      <c r="C12" s="90" t="str">
        <f>+'4 MAPA CALOR INHERENTE'!I11</f>
        <v xml:space="preserve">                   </v>
      </c>
      <c r="D12" s="90" t="str">
        <f>+'4 MAPA CALOR INHERENTE'!J11</f>
        <v xml:space="preserve">                   </v>
      </c>
      <c r="E12" s="90" t="str">
        <f>+'4 MAPA CALOR INHERENTE'!K11</f>
        <v xml:space="preserve">PLES-1 PLES-2 PLES-4                 </v>
      </c>
      <c r="F12" s="86" t="str">
        <f>+'4 MAPA CALOR INHERENTE'!L11</f>
        <v xml:space="preserve">                   </v>
      </c>
      <c r="G12" s="87" t="str">
        <f>+'4 MAPA CALOR INHERENTE'!M11</f>
        <v xml:space="preserve">                   </v>
      </c>
      <c r="H12" s="85"/>
      <c r="I12" s="480"/>
      <c r="J12" s="76" t="s">
        <v>276</v>
      </c>
      <c r="K12" s="90" t="str">
        <f>+'6 MAPA CALOR RESIDUAL'!K11</f>
        <v xml:space="preserve">                   </v>
      </c>
      <c r="L12" s="90" t="str">
        <f>+'6 MAPA CALOR RESIDUAL'!L11</f>
        <v xml:space="preserve">                   </v>
      </c>
      <c r="M12" s="90" t="str">
        <f>+'6 MAPA CALOR RESIDUAL'!M11</f>
        <v xml:space="preserve">                   </v>
      </c>
      <c r="N12" s="86" t="str">
        <f>+'6 MAPA CALOR RESIDUAL'!N11</f>
        <v xml:space="preserve">                   </v>
      </c>
      <c r="O12" s="87" t="str">
        <f>+'6 MAPA CALOR RESIDUAL'!O11</f>
        <v xml:space="preserve">                   </v>
      </c>
      <c r="P12" s="85"/>
      <c r="Q12" s="545"/>
      <c r="R12" s="88">
        <v>0.6</v>
      </c>
      <c r="S12" s="79" t="s">
        <v>276</v>
      </c>
      <c r="T12" s="90" t="s">
        <v>278</v>
      </c>
      <c r="U12" s="90" t="s">
        <v>278</v>
      </c>
      <c r="V12" s="90" t="s">
        <v>278</v>
      </c>
      <c r="W12" s="86" t="s">
        <v>296</v>
      </c>
      <c r="X12" s="87" t="s">
        <v>297</v>
      </c>
      <c r="AA12" s="69"/>
      <c r="AB12" s="69"/>
      <c r="AC12" s="81"/>
      <c r="AD12" s="91"/>
      <c r="AE12" s="92"/>
      <c r="AF12" s="89"/>
      <c r="AG12" s="89"/>
      <c r="AH12" s="89"/>
      <c r="AI12" s="89"/>
      <c r="AJ12" s="93"/>
      <c r="AK12" s="81"/>
      <c r="AL12" s="81"/>
    </row>
    <row r="13" spans="1:38" ht="55.5" customHeight="1" x14ac:dyDescent="0.2">
      <c r="A13" s="480"/>
      <c r="B13" s="76" t="s">
        <v>272</v>
      </c>
      <c r="C13" s="94" t="str">
        <f>+'4 MAPA CALOR INHERENTE'!I12</f>
        <v xml:space="preserve">                   </v>
      </c>
      <c r="D13" s="90" t="e">
        <f>+'4 MAPA CALOR INHERENTE'!J12</f>
        <v>#REF!</v>
      </c>
      <c r="E13" s="90" t="str">
        <f>+'4 MAPA CALOR INHERENTE'!K12</f>
        <v xml:space="preserve">                   </v>
      </c>
      <c r="F13" s="86" t="str">
        <f>+'4 MAPA CALOR INHERENTE'!L12</f>
        <v xml:space="preserve">                   </v>
      </c>
      <c r="G13" s="87" t="str">
        <f>+'4 MAPA CALOR INHERENTE'!M12</f>
        <v xml:space="preserve">                   </v>
      </c>
      <c r="H13" s="85"/>
      <c r="I13" s="480"/>
      <c r="J13" s="76" t="s">
        <v>272</v>
      </c>
      <c r="K13" s="94" t="str">
        <f>+'6 MAPA CALOR RESIDUAL'!K12</f>
        <v xml:space="preserve">                   </v>
      </c>
      <c r="L13" s="90" t="str">
        <f>+'6 MAPA CALOR RESIDUAL'!L12</f>
        <v xml:space="preserve">                   </v>
      </c>
      <c r="M13" s="90" t="str">
        <f>+'6 MAPA CALOR RESIDUAL'!M12</f>
        <v xml:space="preserve">PLES-1 PLES-2 PLES-4                 </v>
      </c>
      <c r="N13" s="86" t="str">
        <f>+'6 MAPA CALOR RESIDUAL'!N12</f>
        <v xml:space="preserve">                   </v>
      </c>
      <c r="O13" s="87" t="str">
        <f>+'6 MAPA CALOR RESIDUAL'!O12</f>
        <v xml:space="preserve">                   </v>
      </c>
      <c r="P13" s="85"/>
      <c r="Q13" s="545"/>
      <c r="R13" s="88">
        <v>0.4</v>
      </c>
      <c r="S13" s="79" t="s">
        <v>272</v>
      </c>
      <c r="T13" s="94" t="s">
        <v>298</v>
      </c>
      <c r="U13" s="90" t="s">
        <v>278</v>
      </c>
      <c r="V13" s="90" t="s">
        <v>278</v>
      </c>
      <c r="W13" s="86" t="s">
        <v>296</v>
      </c>
      <c r="X13" s="87" t="s">
        <v>297</v>
      </c>
      <c r="AA13" s="69"/>
      <c r="AB13" s="69"/>
      <c r="AC13" s="81"/>
      <c r="AD13" s="91"/>
      <c r="AE13" s="92"/>
      <c r="AF13" s="89"/>
      <c r="AG13" s="89"/>
      <c r="AH13" s="89"/>
      <c r="AI13" s="93"/>
      <c r="AJ13" s="89"/>
      <c r="AK13" s="81"/>
      <c r="AL13" s="81"/>
    </row>
    <row r="14" spans="1:38" ht="55.5" customHeight="1" thickBot="1" x14ac:dyDescent="0.25">
      <c r="A14" s="481"/>
      <c r="B14" s="95" t="s">
        <v>268</v>
      </c>
      <c r="C14" s="96" t="str">
        <f>+'4 MAPA CALOR INHERENTE'!I13</f>
        <v xml:space="preserve">                   </v>
      </c>
      <c r="D14" s="96" t="str">
        <f>+'4 MAPA CALOR INHERENTE'!J13</f>
        <v xml:space="preserve">                   </v>
      </c>
      <c r="E14" s="97" t="str">
        <f>+'4 MAPA CALOR INHERENTE'!K13</f>
        <v xml:space="preserve">                   </v>
      </c>
      <c r="F14" s="98" t="str">
        <f>+'4 MAPA CALOR INHERENTE'!L13</f>
        <v xml:space="preserve">                   </v>
      </c>
      <c r="G14" s="99" t="str">
        <f>+'4 MAPA CALOR INHERENTE'!M13</f>
        <v xml:space="preserve">                   </v>
      </c>
      <c r="H14" s="85"/>
      <c r="I14" s="481"/>
      <c r="J14" s="95" t="s">
        <v>268</v>
      </c>
      <c r="K14" s="96" t="str">
        <f>+'6 MAPA CALOR RESIDUAL'!K13</f>
        <v xml:space="preserve">                   </v>
      </c>
      <c r="L14" s="96" t="str">
        <f>+'6 MAPA CALOR RESIDUAL'!L13</f>
        <v xml:space="preserve">                   </v>
      </c>
      <c r="M14" s="97" t="str">
        <f>+'6 MAPA CALOR RESIDUAL'!M13</f>
        <v xml:space="preserve">                   </v>
      </c>
      <c r="N14" s="98" t="str">
        <f>+'6 MAPA CALOR RESIDUAL'!N13</f>
        <v xml:space="preserve">                   </v>
      </c>
      <c r="O14" s="99" t="str">
        <f>+'6 MAPA CALOR RESIDUAL'!O13</f>
        <v xml:space="preserve">                   </v>
      </c>
      <c r="P14" s="85"/>
      <c r="Q14" s="545"/>
      <c r="R14" s="100">
        <v>0.2</v>
      </c>
      <c r="S14" s="101" t="s">
        <v>268</v>
      </c>
      <c r="T14" s="96" t="s">
        <v>298</v>
      </c>
      <c r="U14" s="96" t="s">
        <v>298</v>
      </c>
      <c r="V14" s="97" t="s">
        <v>278</v>
      </c>
      <c r="W14" s="98" t="s">
        <v>296</v>
      </c>
      <c r="X14" s="99" t="s">
        <v>297</v>
      </c>
      <c r="AA14" s="69"/>
      <c r="AB14" s="69"/>
      <c r="AC14" s="81"/>
      <c r="AD14" s="91"/>
      <c r="AE14" s="92"/>
      <c r="AF14" s="89"/>
      <c r="AG14" s="89"/>
      <c r="AH14" s="89"/>
      <c r="AI14" s="102"/>
      <c r="AJ14" s="89"/>
      <c r="AK14" s="81"/>
      <c r="AL14" s="81"/>
    </row>
    <row r="15" spans="1:38" x14ac:dyDescent="0.2">
      <c r="A15" s="70"/>
      <c r="B15" s="85"/>
      <c r="C15" s="182"/>
      <c r="D15" s="183"/>
      <c r="E15" s="184"/>
      <c r="F15" s="184"/>
      <c r="G15" s="85"/>
      <c r="H15" s="85"/>
      <c r="I15" s="85"/>
      <c r="J15" s="85"/>
      <c r="K15" s="85"/>
      <c r="L15" s="85"/>
      <c r="M15" s="85"/>
      <c r="N15" s="85"/>
      <c r="O15" s="85"/>
      <c r="P15" s="85"/>
      <c r="AA15" s="69"/>
      <c r="AB15" s="69"/>
      <c r="AC15" s="81"/>
      <c r="AD15" s="91"/>
      <c r="AE15" s="92"/>
      <c r="AF15" s="89"/>
      <c r="AG15" s="89"/>
      <c r="AH15" s="89"/>
      <c r="AI15" s="89"/>
      <c r="AJ15" s="89"/>
      <c r="AK15" s="81"/>
      <c r="AL15" s="81"/>
    </row>
    <row r="16" spans="1:38" ht="25.5" x14ac:dyDescent="0.2">
      <c r="A16" s="70"/>
      <c r="B16" s="85"/>
      <c r="C16" s="182"/>
      <c r="D16" s="183"/>
      <c r="E16" s="184"/>
      <c r="F16" s="184"/>
      <c r="G16" s="85"/>
      <c r="H16" s="85"/>
      <c r="I16" s="85"/>
      <c r="J16" s="85"/>
      <c r="K16" s="85"/>
      <c r="L16" s="85"/>
      <c r="M16" s="85"/>
      <c r="N16" s="85"/>
      <c r="O16" s="85"/>
      <c r="P16" s="85"/>
      <c r="T16" s="73" t="s">
        <v>299</v>
      </c>
      <c r="V16" s="69"/>
      <c r="W16" s="69"/>
      <c r="X16" s="69"/>
      <c r="Y16" s="69"/>
      <c r="Z16" s="69"/>
      <c r="AA16" s="69"/>
      <c r="AB16" s="69"/>
      <c r="AC16" s="81"/>
      <c r="AD16" s="91"/>
      <c r="AE16" s="81"/>
      <c r="AF16" s="92"/>
      <c r="AG16" s="92"/>
      <c r="AH16" s="92"/>
      <c r="AI16" s="92"/>
      <c r="AJ16" s="92"/>
      <c r="AK16" s="81"/>
      <c r="AL16" s="81"/>
    </row>
    <row r="17" spans="1:38" x14ac:dyDescent="0.2">
      <c r="A17" s="70"/>
      <c r="B17" s="85"/>
      <c r="C17" s="182"/>
      <c r="D17" s="183"/>
      <c r="E17" s="184"/>
      <c r="F17" s="184"/>
      <c r="G17" s="85"/>
      <c r="H17" s="85"/>
      <c r="I17" s="85"/>
      <c r="J17" s="85"/>
      <c r="K17" s="85"/>
      <c r="L17" s="85"/>
      <c r="M17" s="85"/>
      <c r="N17" s="85"/>
      <c r="O17" s="85"/>
      <c r="P17" s="85"/>
      <c r="T17" s="103" t="s">
        <v>297</v>
      </c>
      <c r="V17" s="69"/>
      <c r="W17" s="69"/>
      <c r="X17" s="69"/>
      <c r="Y17" s="69"/>
      <c r="Z17" s="69"/>
      <c r="AA17" s="69"/>
      <c r="AB17" s="69"/>
      <c r="AC17" s="81"/>
      <c r="AD17" s="81"/>
      <c r="AE17" s="81"/>
      <c r="AF17" s="89"/>
      <c r="AG17" s="89"/>
      <c r="AH17" s="89"/>
      <c r="AI17" s="89"/>
      <c r="AJ17" s="89"/>
      <c r="AK17" s="81"/>
      <c r="AL17" s="81"/>
    </row>
    <row r="18" spans="1:38" x14ac:dyDescent="0.2">
      <c r="A18" s="70"/>
      <c r="B18" s="85"/>
      <c r="C18" s="182"/>
      <c r="D18" s="183"/>
      <c r="E18" s="184"/>
      <c r="F18" s="184"/>
      <c r="G18" s="85"/>
      <c r="H18" s="85"/>
      <c r="I18" s="85"/>
      <c r="J18" s="85"/>
      <c r="K18" s="85"/>
      <c r="L18" s="85"/>
      <c r="M18" s="85"/>
      <c r="N18" s="85"/>
      <c r="O18" s="85"/>
      <c r="P18" s="85"/>
      <c r="T18" s="86" t="s">
        <v>296</v>
      </c>
      <c r="U18" s="69"/>
      <c r="V18" s="69"/>
      <c r="W18" s="69"/>
      <c r="X18" s="69"/>
      <c r="Y18" s="69"/>
      <c r="Z18" s="69"/>
      <c r="AA18" s="69"/>
      <c r="AB18" s="69"/>
      <c r="AC18" s="81"/>
      <c r="AD18" s="81"/>
      <c r="AE18" s="81"/>
      <c r="AF18" s="89"/>
      <c r="AG18" s="89"/>
      <c r="AH18" s="89"/>
      <c r="AI18" s="89"/>
      <c r="AJ18" s="89"/>
      <c r="AK18" s="81"/>
      <c r="AL18" s="81"/>
    </row>
    <row r="19" spans="1:38" x14ac:dyDescent="0.2">
      <c r="A19" s="70"/>
      <c r="B19" s="85"/>
      <c r="C19" s="182"/>
      <c r="D19" s="183"/>
      <c r="E19" s="184"/>
      <c r="F19" s="184"/>
      <c r="G19" s="85"/>
      <c r="H19" s="85"/>
      <c r="I19" s="85"/>
      <c r="J19" s="85"/>
      <c r="K19" s="85"/>
      <c r="L19" s="85"/>
      <c r="M19" s="85"/>
      <c r="N19" s="85"/>
      <c r="O19" s="85"/>
      <c r="P19" s="85"/>
      <c r="S19" s="104"/>
      <c r="T19" s="90" t="s">
        <v>278</v>
      </c>
      <c r="U19" s="104"/>
      <c r="V19" s="104"/>
      <c r="W19" s="104"/>
      <c r="X19" s="104"/>
      <c r="Y19" s="104"/>
      <c r="Z19" s="104"/>
      <c r="AA19" s="104"/>
      <c r="AB19" s="104"/>
      <c r="AC19" s="81"/>
      <c r="AD19" s="81"/>
      <c r="AE19" s="105"/>
      <c r="AF19" s="105"/>
      <c r="AG19" s="105"/>
      <c r="AH19" s="105"/>
      <c r="AI19" s="105"/>
      <c r="AJ19" s="105"/>
      <c r="AK19" s="81"/>
      <c r="AL19" s="81"/>
    </row>
    <row r="20" spans="1:38" x14ac:dyDescent="0.2">
      <c r="A20" s="70"/>
      <c r="B20" s="85"/>
      <c r="C20" s="182"/>
      <c r="D20" s="183"/>
      <c r="E20" s="184"/>
      <c r="F20" s="184"/>
      <c r="G20" s="85"/>
      <c r="H20" s="85"/>
      <c r="I20" s="85"/>
      <c r="J20" s="85"/>
      <c r="K20" s="85"/>
      <c r="L20" s="85"/>
      <c r="M20" s="85"/>
      <c r="N20" s="85"/>
      <c r="O20" s="85"/>
      <c r="P20" s="85"/>
      <c r="S20" s="104"/>
      <c r="T20" s="94" t="s">
        <v>298</v>
      </c>
      <c r="AA20" s="104"/>
      <c r="AB20" s="104"/>
      <c r="AC20" s="81"/>
      <c r="AD20" s="81"/>
      <c r="AE20" s="81"/>
      <c r="AF20" s="89"/>
      <c r="AG20" s="89"/>
      <c r="AH20" s="89"/>
      <c r="AI20" s="89"/>
      <c r="AJ20" s="89"/>
      <c r="AK20" s="81"/>
      <c r="AL20" s="81"/>
    </row>
    <row r="21" spans="1:38" x14ac:dyDescent="0.2">
      <c r="A21" s="70"/>
      <c r="B21" s="85"/>
      <c r="C21" s="182"/>
      <c r="D21" s="183"/>
      <c r="E21" s="184"/>
      <c r="F21" s="184"/>
      <c r="G21" s="85"/>
      <c r="H21" s="85"/>
      <c r="I21" s="85"/>
      <c r="J21" s="85"/>
      <c r="K21" s="85"/>
      <c r="L21" s="85"/>
      <c r="M21" s="85"/>
      <c r="N21" s="85"/>
      <c r="O21" s="85"/>
      <c r="P21" s="85"/>
      <c r="Q21" s="106"/>
      <c r="R21" s="106"/>
      <c r="S21" s="104"/>
      <c r="AA21" s="104"/>
      <c r="AB21" s="104"/>
      <c r="AC21" s="81"/>
      <c r="AD21" s="81"/>
      <c r="AE21" s="81"/>
      <c r="AF21" s="89"/>
      <c r="AG21" s="89"/>
      <c r="AH21" s="89"/>
      <c r="AI21" s="89"/>
      <c r="AJ21" s="89"/>
      <c r="AK21" s="81"/>
      <c r="AL21" s="81"/>
    </row>
    <row r="22" spans="1:38" x14ac:dyDescent="0.2">
      <c r="A22" s="70"/>
      <c r="B22" s="85"/>
      <c r="C22" s="182"/>
      <c r="D22" s="183"/>
      <c r="E22" s="184"/>
      <c r="F22" s="184"/>
      <c r="G22" s="85"/>
      <c r="H22" s="85"/>
      <c r="I22" s="85"/>
      <c r="J22" s="85"/>
      <c r="K22" s="85"/>
      <c r="L22" s="85"/>
      <c r="M22" s="85"/>
      <c r="N22" s="85"/>
      <c r="O22" s="85"/>
      <c r="P22" s="85"/>
      <c r="Q22" s="106"/>
      <c r="R22" s="106"/>
      <c r="S22" s="107"/>
      <c r="AA22" s="104"/>
      <c r="AB22" s="104"/>
      <c r="AC22" s="81"/>
      <c r="AD22" s="102"/>
      <c r="AE22" s="102"/>
      <c r="AF22" s="102"/>
      <c r="AG22" s="102"/>
      <c r="AH22" s="102"/>
      <c r="AI22" s="102"/>
      <c r="AJ22" s="89"/>
      <c r="AK22" s="81"/>
      <c r="AL22" s="81"/>
    </row>
    <row r="23" spans="1:38" x14ac:dyDescent="0.2">
      <c r="A23" s="70"/>
      <c r="B23" s="85"/>
      <c r="C23" s="182"/>
      <c r="D23" s="183"/>
      <c r="E23" s="184"/>
      <c r="F23" s="184"/>
      <c r="G23" s="85"/>
      <c r="H23" s="85"/>
      <c r="I23" s="85"/>
      <c r="J23" s="85"/>
      <c r="K23" s="85"/>
      <c r="L23" s="85"/>
      <c r="M23" s="85"/>
      <c r="N23" s="85"/>
      <c r="O23" s="85"/>
      <c r="P23" s="85"/>
      <c r="Q23" s="106"/>
      <c r="R23" s="106"/>
      <c r="AC23" s="81"/>
      <c r="AD23" s="108"/>
      <c r="AE23" s="108"/>
      <c r="AF23" s="108"/>
      <c r="AG23" s="108"/>
      <c r="AH23" s="108"/>
      <c r="AI23" s="108"/>
      <c r="AJ23" s="89"/>
      <c r="AK23" s="81"/>
      <c r="AL23" s="81"/>
    </row>
    <row r="24" spans="1:38" x14ac:dyDescent="0.2">
      <c r="A24" s="70"/>
      <c r="B24" s="85"/>
      <c r="C24" s="182"/>
      <c r="D24" s="183"/>
      <c r="E24" s="184"/>
      <c r="F24" s="184"/>
      <c r="G24" s="85"/>
      <c r="H24" s="85"/>
      <c r="I24" s="85"/>
      <c r="J24" s="85"/>
      <c r="K24" s="85"/>
      <c r="L24" s="85"/>
      <c r="M24" s="85"/>
      <c r="N24" s="85"/>
      <c r="O24" s="85"/>
      <c r="P24" s="85"/>
      <c r="Q24" s="106"/>
      <c r="R24" s="106"/>
      <c r="AC24" s="81"/>
      <c r="AD24" s="102"/>
      <c r="AE24" s="102"/>
      <c r="AF24" s="102"/>
      <c r="AG24" s="102"/>
      <c r="AH24" s="102"/>
      <c r="AI24" s="102"/>
      <c r="AJ24" s="89"/>
      <c r="AK24" s="81"/>
      <c r="AL24" s="81"/>
    </row>
    <row r="25" spans="1:38" x14ac:dyDescent="0.2">
      <c r="A25" s="70"/>
      <c r="B25" s="85"/>
      <c r="C25" s="182"/>
      <c r="D25" s="183"/>
      <c r="E25" s="184"/>
      <c r="F25" s="184"/>
      <c r="G25" s="85"/>
      <c r="H25" s="85"/>
      <c r="I25" s="85"/>
      <c r="J25" s="85"/>
      <c r="K25" s="85"/>
      <c r="L25" s="85"/>
      <c r="M25" s="85"/>
      <c r="N25" s="85"/>
      <c r="O25" s="85"/>
      <c r="P25" s="85"/>
      <c r="AC25" s="81"/>
      <c r="AD25" s="102"/>
      <c r="AE25" s="102"/>
      <c r="AF25" s="102"/>
      <c r="AG25" s="102"/>
      <c r="AH25" s="102"/>
      <c r="AI25" s="102"/>
      <c r="AJ25" s="89"/>
      <c r="AK25" s="81"/>
      <c r="AL25" s="81"/>
    </row>
    <row r="26" spans="1:38" x14ac:dyDescent="0.25">
      <c r="A26" s="70"/>
      <c r="B26" s="85"/>
      <c r="C26" s="182"/>
      <c r="D26" s="183"/>
      <c r="E26" s="184"/>
      <c r="F26" s="184"/>
      <c r="G26" s="85"/>
      <c r="H26" s="85"/>
      <c r="I26" s="85"/>
      <c r="J26" s="85"/>
      <c r="K26" s="85"/>
      <c r="L26" s="85"/>
      <c r="M26" s="85"/>
      <c r="N26" s="85"/>
      <c r="O26" s="85"/>
      <c r="P26" s="85"/>
    </row>
    <row r="27" spans="1:38" x14ac:dyDescent="0.25">
      <c r="A27" s="70"/>
      <c r="B27" s="85"/>
      <c r="C27" s="182"/>
      <c r="D27" s="183"/>
      <c r="E27" s="184"/>
      <c r="F27" s="184"/>
      <c r="G27" s="85"/>
      <c r="H27" s="85"/>
      <c r="I27" s="85"/>
      <c r="J27" s="85"/>
      <c r="K27" s="85"/>
      <c r="L27" s="85"/>
      <c r="M27" s="85"/>
      <c r="N27" s="85"/>
      <c r="O27" s="85"/>
      <c r="P27" s="85"/>
    </row>
    <row r="28" spans="1:38" x14ac:dyDescent="0.25">
      <c r="A28" s="70"/>
      <c r="B28" s="85"/>
      <c r="C28" s="182"/>
      <c r="D28" s="183"/>
      <c r="E28" s="184"/>
      <c r="F28" s="184"/>
      <c r="G28" s="85"/>
      <c r="H28" s="85"/>
      <c r="I28" s="85"/>
      <c r="J28" s="85"/>
      <c r="K28" s="85"/>
      <c r="L28" s="85"/>
      <c r="M28" s="85"/>
      <c r="N28" s="85"/>
      <c r="O28" s="85"/>
      <c r="P28" s="85"/>
    </row>
    <row r="29" spans="1:38" x14ac:dyDescent="0.25">
      <c r="A29" s="70"/>
      <c r="B29" s="85"/>
      <c r="C29" s="182"/>
      <c r="D29" s="183"/>
      <c r="E29" s="184"/>
      <c r="F29" s="184"/>
      <c r="G29" s="85"/>
      <c r="H29" s="85"/>
      <c r="I29" s="85"/>
      <c r="J29" s="85"/>
      <c r="K29" s="85"/>
      <c r="L29" s="85"/>
      <c r="M29" s="85"/>
      <c r="N29" s="85"/>
      <c r="O29" s="85"/>
      <c r="P29" s="85"/>
    </row>
    <row r="30" spans="1:38" ht="14.45" customHeight="1" x14ac:dyDescent="0.25">
      <c r="B30" s="65"/>
      <c r="D30" s="65"/>
      <c r="G30" s="65"/>
      <c r="H30" s="65"/>
      <c r="I30" s="65"/>
      <c r="J30" s="65"/>
      <c r="K30" s="65"/>
      <c r="L30" s="65"/>
      <c r="M30" s="65"/>
      <c r="N30" s="65"/>
      <c r="O30" s="65"/>
      <c r="P30" s="65"/>
      <c r="AA30" s="70"/>
      <c r="AB30" s="70"/>
      <c r="AC30" s="70"/>
      <c r="AD30" s="70"/>
      <c r="AE30" s="70"/>
      <c r="AF30" s="65"/>
      <c r="AG30" s="65"/>
      <c r="AH30" s="65"/>
      <c r="AI30" s="65"/>
      <c r="AJ30" s="65"/>
    </row>
    <row r="31" spans="1:38" ht="39" customHeight="1" x14ac:dyDescent="0.25">
      <c r="B31" s="65"/>
      <c r="D31" s="65"/>
      <c r="G31" s="65"/>
      <c r="H31" s="65"/>
      <c r="I31" s="65"/>
      <c r="J31" s="65"/>
      <c r="K31" s="65"/>
      <c r="L31" s="65"/>
      <c r="M31" s="65"/>
      <c r="N31" s="65"/>
      <c r="O31" s="65"/>
      <c r="P31" s="65"/>
      <c r="AA31" s="70"/>
      <c r="AB31" s="70"/>
      <c r="AC31" s="70"/>
      <c r="AD31" s="70"/>
      <c r="AE31" s="70"/>
      <c r="AF31" s="65"/>
      <c r="AG31" s="65"/>
      <c r="AH31" s="65"/>
      <c r="AI31" s="65"/>
      <c r="AJ31" s="65"/>
    </row>
    <row r="32" spans="1:38" ht="19.5" customHeight="1" x14ac:dyDescent="0.25">
      <c r="B32" s="65"/>
      <c r="D32" s="65"/>
      <c r="G32" s="65"/>
      <c r="H32" s="65"/>
      <c r="I32" s="65"/>
      <c r="J32" s="65"/>
      <c r="K32" s="65"/>
      <c r="L32" s="65"/>
      <c r="M32" s="65"/>
      <c r="N32" s="65"/>
      <c r="O32" s="65"/>
      <c r="P32" s="65"/>
      <c r="AA32" s="70"/>
      <c r="AB32" s="70"/>
      <c r="AC32" s="70"/>
      <c r="AD32" s="70"/>
      <c r="AE32" s="70"/>
      <c r="AF32" s="65"/>
      <c r="AG32" s="65"/>
      <c r="AH32" s="65"/>
      <c r="AI32" s="65"/>
      <c r="AJ32" s="65"/>
    </row>
    <row r="33" spans="2:36" ht="19.5" customHeight="1" x14ac:dyDescent="0.25">
      <c r="B33" s="65"/>
      <c r="D33" s="65"/>
      <c r="G33" s="65"/>
      <c r="H33" s="65"/>
      <c r="I33" s="65"/>
      <c r="J33" s="65"/>
      <c r="K33" s="65"/>
      <c r="L33" s="65"/>
      <c r="M33" s="65"/>
      <c r="N33" s="65"/>
      <c r="O33" s="65"/>
      <c r="P33" s="65"/>
      <c r="AA33" s="70"/>
      <c r="AB33" s="70"/>
      <c r="AC33" s="70"/>
      <c r="AD33" s="70"/>
      <c r="AE33" s="70"/>
      <c r="AF33" s="65"/>
      <c r="AG33" s="65"/>
      <c r="AH33" s="65"/>
      <c r="AI33" s="65"/>
      <c r="AJ33" s="65"/>
    </row>
    <row r="34" spans="2:36" ht="19.5" customHeight="1" x14ac:dyDescent="0.25">
      <c r="B34" s="65"/>
      <c r="D34" s="65"/>
      <c r="G34" s="65"/>
      <c r="H34" s="65"/>
      <c r="I34" s="65"/>
      <c r="J34" s="65"/>
      <c r="K34" s="65"/>
      <c r="L34" s="65"/>
      <c r="M34" s="65"/>
      <c r="N34" s="65"/>
      <c r="O34" s="65"/>
      <c r="P34" s="65"/>
      <c r="AA34" s="70"/>
      <c r="AB34" s="70"/>
      <c r="AC34" s="70"/>
      <c r="AD34" s="70"/>
      <c r="AE34" s="70"/>
      <c r="AF34" s="65"/>
      <c r="AG34" s="65"/>
      <c r="AH34" s="65"/>
      <c r="AI34" s="65"/>
      <c r="AJ34" s="65"/>
    </row>
    <row r="35" spans="2:36" ht="19.5" customHeight="1" x14ac:dyDescent="0.25">
      <c r="B35" s="65"/>
      <c r="D35" s="65"/>
      <c r="G35" s="65"/>
      <c r="H35" s="65"/>
      <c r="I35" s="65"/>
      <c r="J35" s="65"/>
      <c r="K35" s="65"/>
      <c r="L35" s="65"/>
      <c r="M35" s="65"/>
      <c r="N35" s="65"/>
      <c r="O35" s="65"/>
      <c r="P35" s="65"/>
      <c r="AA35" s="70"/>
      <c r="AB35" s="70"/>
      <c r="AC35" s="70"/>
      <c r="AD35" s="70"/>
      <c r="AE35" s="70"/>
      <c r="AF35" s="65"/>
      <c r="AG35" s="65"/>
      <c r="AH35" s="65"/>
      <c r="AI35" s="65"/>
      <c r="AJ35" s="65"/>
    </row>
    <row r="36" spans="2:36" ht="19.5" customHeight="1" x14ac:dyDescent="0.25">
      <c r="B36" s="65"/>
      <c r="D36" s="65"/>
      <c r="G36" s="65"/>
      <c r="H36" s="65"/>
      <c r="I36" s="65"/>
      <c r="J36" s="65"/>
      <c r="K36" s="65"/>
      <c r="L36" s="65"/>
      <c r="M36" s="65"/>
      <c r="N36" s="65"/>
      <c r="O36" s="65"/>
      <c r="P36" s="65"/>
      <c r="AA36" s="70"/>
      <c r="AB36" s="70"/>
      <c r="AC36" s="70"/>
      <c r="AD36" s="70"/>
      <c r="AE36" s="70"/>
      <c r="AF36" s="65"/>
      <c r="AG36" s="65"/>
      <c r="AH36" s="65"/>
      <c r="AI36" s="65"/>
      <c r="AJ36" s="65"/>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31" priority="1" operator="equal">
      <formula>$S$14</formula>
    </cfRule>
    <cfRule type="cellIs" dxfId="30" priority="2" operator="equal">
      <formula>$S$13</formula>
    </cfRule>
    <cfRule type="cellIs" dxfId="29" priority="3" operator="equal">
      <formula>$S$12</formula>
    </cfRule>
    <cfRule type="cellIs" dxfId="28" priority="4" operator="equal">
      <formula>$S$11</formula>
    </cfRule>
    <cfRule type="cellIs" dxfId="27" priority="5" operator="equal">
      <formula>$S$10</formula>
    </cfRule>
  </conditionalFormatting>
  <conditionalFormatting sqref="F15:F29">
    <cfRule type="cellIs" dxfId="26" priority="6" operator="equal">
      <formula>$T$9</formula>
    </cfRule>
    <cfRule type="cellIs" dxfId="25" priority="7" operator="equal">
      <formula>$U$9</formula>
    </cfRule>
    <cfRule type="cellIs" dxfId="24" priority="8" operator="equal">
      <formula>$V$9</formula>
    </cfRule>
    <cfRule type="cellIs" dxfId="23" priority="9" operator="equal">
      <formula>$W$9</formula>
    </cfRule>
    <cfRule type="cellIs" dxfId="22" priority="10" operator="equal">
      <formula>$X$9</formula>
    </cfRule>
  </conditionalFormatting>
  <conditionalFormatting sqref="G15:G29">
    <cfRule type="cellIs" dxfId="21" priority="16" operator="equal">
      <formula>$T$17</formula>
    </cfRule>
    <cfRule type="cellIs" dxfId="20" priority="17" operator="equal">
      <formula>$T$18</formula>
    </cfRule>
    <cfRule type="cellIs" dxfId="19" priority="18" operator="equal">
      <formula>$T$19</formula>
    </cfRule>
    <cfRule type="cellIs" dxfId="18"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4"/>
  <sheetViews>
    <sheetView showGridLines="0" zoomScale="114" zoomScaleNormal="114" workbookViewId="0">
      <pane xSplit="1" ySplit="8" topLeftCell="B9" activePane="bottomRight" state="frozen"/>
      <selection pane="topRight" activeCell="B1" sqref="B1"/>
      <selection pane="bottomLeft" activeCell="A7" sqref="A7"/>
      <selection pane="bottomRight" activeCell="Q11" sqref="Q11"/>
    </sheetView>
  </sheetViews>
  <sheetFormatPr baseColWidth="10" defaultColWidth="0" defaultRowHeight="12.75" x14ac:dyDescent="0.25"/>
  <cols>
    <col min="1" max="1" width="11.42578125" style="65" customWidth="1"/>
    <col min="2" max="2" width="33.5703125" style="70" customWidth="1"/>
    <col min="3" max="4" width="14.140625" style="70" customWidth="1"/>
    <col min="5" max="5" width="16.42578125" style="115" customWidth="1"/>
    <col min="6" max="6" width="16.85546875" style="115" customWidth="1"/>
    <col min="7" max="7" width="12.42578125" style="70" customWidth="1"/>
    <col min="8" max="8" width="15.42578125" style="70" customWidth="1"/>
    <col min="9" max="9" width="13" style="70" customWidth="1"/>
    <col min="10" max="10" width="16.42578125" style="115" customWidth="1"/>
    <col min="11" max="11" width="10.140625" style="115" customWidth="1"/>
    <col min="12" max="12" width="12.42578125" style="70" customWidth="1"/>
    <col min="13" max="13" width="16.85546875" style="70" customWidth="1"/>
    <col min="14" max="14" width="15.42578125" style="70" customWidth="1"/>
    <col min="15" max="16" width="16.42578125" style="70" customWidth="1"/>
    <col min="17" max="17" width="31.5703125" style="70" customWidth="1"/>
    <col min="18" max="18" width="20.85546875" style="70" customWidth="1"/>
    <col min="19" max="19" width="14.5703125" style="121" customWidth="1"/>
    <col min="20" max="20" width="13.42578125" style="121" customWidth="1"/>
    <col min="21" max="23" width="20.42578125" style="70" customWidth="1"/>
    <col min="24" max="25" width="30.42578125" style="70" customWidth="1"/>
    <col min="26" max="26" width="18" style="70" customWidth="1"/>
    <col min="27" max="28" width="15.42578125" style="70" customWidth="1"/>
    <col min="29" max="29" width="4.85546875" style="65" customWidth="1"/>
    <col min="30" max="30" width="5.42578125" style="65" bestFit="1" customWidth="1"/>
    <col min="31" max="32" width="14" style="65" customWidth="1"/>
    <col min="33" max="33" width="18.42578125" style="65" customWidth="1"/>
    <col min="34" max="34" width="19.42578125" style="65" customWidth="1"/>
    <col min="35" max="35" width="14" style="65" customWidth="1"/>
    <col min="36" max="36" width="17" style="65" bestFit="1" customWidth="1"/>
    <col min="37" max="37" width="11.42578125" style="65" customWidth="1"/>
    <col min="38" max="41" width="11.42578125" style="65" hidden="1" customWidth="1"/>
    <col min="42" max="42" width="5.42578125" style="65" hidden="1" customWidth="1"/>
    <col min="43" max="43" width="26.85546875" style="65" hidden="1" customWidth="1"/>
    <col min="44" max="48" width="22.85546875" style="70" hidden="1" customWidth="1"/>
    <col min="49" max="49" width="23.42578125" style="65" hidden="1" customWidth="1"/>
    <col min="50" max="277" width="11.42578125" style="65" hidden="1" customWidth="1"/>
    <col min="278" max="278" width="12.42578125" style="65" hidden="1" customWidth="1"/>
    <col min="279" max="279" width="47" style="65" hidden="1" customWidth="1"/>
    <col min="280" max="280" width="35" style="65" hidden="1" customWidth="1"/>
    <col min="281" max="16384" width="14.42578125" style="65" hidden="1"/>
  </cols>
  <sheetData>
    <row r="1" spans="1:50" s="53" customFormat="1" ht="36" hidden="1" customHeight="1" x14ac:dyDescent="0.2">
      <c r="A1" s="476"/>
      <c r="B1" s="482" t="str">
        <f>+'2 CONTEXTO E IDENTIFICACIÓN'!A1</f>
        <v>MAPA DE RIESGOS</v>
      </c>
      <c r="C1" s="39"/>
      <c r="D1" s="109"/>
      <c r="E1" s="110"/>
      <c r="F1" s="213" t="str">
        <f>+'2 CONTEXTO E IDENTIFICACIÓN'!$I$4</f>
        <v>Elaboración o Actualización:</v>
      </c>
      <c r="G1" s="227">
        <f>'2 CONTEXTO E IDENTIFICACIÓN'!J4</f>
        <v>46003</v>
      </c>
      <c r="H1" s="13"/>
      <c r="I1" s="13"/>
      <c r="U1" s="116"/>
      <c r="V1" s="116"/>
      <c r="AR1" s="54"/>
      <c r="AS1" s="54"/>
      <c r="AT1" s="54"/>
      <c r="AU1" s="54"/>
      <c r="AV1" s="54"/>
    </row>
    <row r="2" spans="1:50" s="53" customFormat="1" ht="36" hidden="1" customHeight="1" x14ac:dyDescent="0.2">
      <c r="A2" s="476"/>
      <c r="B2" s="482"/>
      <c r="C2" s="39" t="str">
        <f>+'2 CONTEXTO E IDENTIFICACIÓN'!A2</f>
        <v>VERSIÓN:</v>
      </c>
      <c r="D2" s="109">
        <f>'2 CONTEXTO E IDENTIFICACIÓN'!B2</f>
        <v>0</v>
      </c>
      <c r="E2" s="110"/>
      <c r="F2" s="216" t="str">
        <f>+'2 CONTEXTO E IDENTIFICACIÓN'!$E$5</f>
        <v xml:space="preserve">Vigencia: </v>
      </c>
      <c r="G2" s="214">
        <f>'2 CONTEXTO E IDENTIFICACIÓN'!G5</f>
        <v>46023</v>
      </c>
      <c r="H2" s="215" t="s">
        <v>100</v>
      </c>
      <c r="I2" s="212">
        <f>'2 CONTEXTO E IDENTIFICACIÓN'!J5</f>
        <v>46387</v>
      </c>
      <c r="J2" s="110"/>
      <c r="K2" s="110"/>
      <c r="L2" s="55"/>
      <c r="N2" s="55"/>
      <c r="O2" s="55"/>
      <c r="P2" s="55"/>
      <c r="Q2" s="55"/>
      <c r="R2" s="55"/>
      <c r="S2" s="117"/>
      <c r="T2" s="117"/>
      <c r="U2" s="55"/>
      <c r="V2" s="55"/>
      <c r="W2" s="55"/>
      <c r="X2" s="55"/>
      <c r="Y2" s="55"/>
      <c r="Z2" s="55"/>
      <c r="AA2" s="55"/>
      <c r="AB2" s="55"/>
      <c r="AR2" s="54"/>
      <c r="AS2" s="54"/>
      <c r="AT2" s="54"/>
      <c r="AU2" s="54"/>
      <c r="AV2" s="54"/>
    </row>
    <row r="3" spans="1:50" s="53" customFormat="1" hidden="1" x14ac:dyDescent="0.2">
      <c r="A3" s="57"/>
      <c r="B3" s="55"/>
      <c r="C3" s="217"/>
      <c r="D3" s="217"/>
      <c r="E3" s="110"/>
      <c r="F3" s="110"/>
      <c r="G3" s="55"/>
      <c r="J3" s="110"/>
      <c r="K3" s="110"/>
      <c r="L3" s="55"/>
      <c r="N3" s="55"/>
      <c r="O3" s="55"/>
      <c r="P3" s="55"/>
      <c r="Q3" s="55"/>
      <c r="R3" s="55"/>
      <c r="S3" s="117"/>
      <c r="T3" s="117"/>
      <c r="U3" s="55"/>
      <c r="V3" s="55"/>
      <c r="W3" s="55"/>
      <c r="X3" s="55"/>
      <c r="Y3" s="55"/>
      <c r="Z3" s="55"/>
      <c r="AA3" s="55"/>
      <c r="AB3" s="55"/>
      <c r="AR3" s="54"/>
      <c r="AS3" s="54"/>
      <c r="AT3" s="54"/>
      <c r="AU3" s="54"/>
      <c r="AV3" s="54"/>
    </row>
    <row r="4" spans="1:50" s="53" customFormat="1" ht="15.75" hidden="1" thickBot="1" x14ac:dyDescent="0.25">
      <c r="A4" s="12" t="s">
        <v>95</v>
      </c>
      <c r="B4" s="462" t="str">
        <f>'2 CONTEXTO E IDENTIFICACIÓN'!B4</f>
        <v>SUPERSOLIDARIA</v>
      </c>
      <c r="C4" s="462"/>
      <c r="D4" s="462"/>
      <c r="E4" s="51"/>
      <c r="F4" s="51"/>
      <c r="G4" s="51"/>
      <c r="H4" s="51"/>
      <c r="I4" s="51"/>
      <c r="J4" s="51"/>
      <c r="K4" s="111"/>
      <c r="S4" s="116"/>
      <c r="T4" s="116"/>
      <c r="AR4" s="54"/>
      <c r="AS4" s="54"/>
      <c r="AT4" s="54"/>
      <c r="AU4" s="54"/>
      <c r="AV4" s="54"/>
    </row>
    <row r="5" spans="1:50" s="53" customFormat="1" ht="30" hidden="1" x14ac:dyDescent="0.2">
      <c r="A5" s="12" t="s">
        <v>96</v>
      </c>
      <c r="B5" s="462" t="str">
        <f>'2 CONTEXTO E IDENTIFICACIÓN'!F4</f>
        <v>PLES</v>
      </c>
      <c r="C5" s="463"/>
      <c r="D5" s="463"/>
      <c r="E5" s="41"/>
      <c r="F5" s="111"/>
      <c r="H5" s="55"/>
      <c r="I5" s="55"/>
      <c r="J5" s="41"/>
      <c r="K5" s="111"/>
      <c r="S5" s="116"/>
      <c r="T5" s="116"/>
      <c r="AD5" s="58"/>
      <c r="AE5" s="59"/>
      <c r="AF5" s="551" t="s">
        <v>156</v>
      </c>
      <c r="AG5" s="552"/>
      <c r="AH5" s="552"/>
      <c r="AI5" s="552"/>
      <c r="AJ5" s="553"/>
      <c r="AR5" s="54"/>
      <c r="AS5" s="54"/>
      <c r="AT5" s="54"/>
      <c r="AU5" s="54"/>
      <c r="AV5" s="54"/>
    </row>
    <row r="6" spans="1:50" s="53" customFormat="1" ht="5.45" hidden="1" customHeight="1" x14ac:dyDescent="0.2">
      <c r="A6" s="220"/>
      <c r="B6" s="219"/>
      <c r="C6" s="219"/>
      <c r="D6" s="55"/>
      <c r="E6" s="41"/>
      <c r="F6" s="111"/>
      <c r="H6" s="55"/>
      <c r="I6" s="55"/>
      <c r="J6" s="41"/>
      <c r="K6" s="111"/>
      <c r="S6" s="116"/>
      <c r="T6" s="116"/>
      <c r="AD6" s="233"/>
      <c r="AF6" s="234"/>
      <c r="AG6" s="235"/>
      <c r="AH6" s="235"/>
      <c r="AI6" s="235"/>
      <c r="AJ6" s="236"/>
      <c r="AR6" s="54"/>
      <c r="AS6" s="54"/>
      <c r="AT6" s="54"/>
      <c r="AU6" s="54"/>
      <c r="AV6" s="54"/>
    </row>
    <row r="7" spans="1:50" ht="14.45" customHeight="1" x14ac:dyDescent="0.25">
      <c r="A7" s="112"/>
      <c r="B7" s="112"/>
      <c r="C7" s="112"/>
      <c r="D7" s="112"/>
      <c r="E7" s="477" t="s">
        <v>293</v>
      </c>
      <c r="F7" s="477"/>
      <c r="G7" s="477"/>
      <c r="H7" s="62"/>
      <c r="I7" s="112"/>
      <c r="J7" s="477" t="s">
        <v>321</v>
      </c>
      <c r="K7" s="477"/>
      <c r="L7" s="477"/>
      <c r="M7" s="62"/>
      <c r="N7" s="62"/>
      <c r="O7" s="62"/>
      <c r="P7" s="62"/>
      <c r="Q7" s="477" t="s">
        <v>324</v>
      </c>
      <c r="R7" s="477"/>
      <c r="S7" s="477"/>
      <c r="T7" s="477"/>
      <c r="U7" s="477" t="s">
        <v>77</v>
      </c>
      <c r="V7" s="477"/>
      <c r="W7" s="477"/>
      <c r="X7" s="62"/>
      <c r="Y7" s="62"/>
      <c r="Z7" s="62"/>
      <c r="AA7" s="62"/>
      <c r="AB7" s="62"/>
      <c r="AD7" s="66"/>
      <c r="AF7" s="67">
        <v>0.2</v>
      </c>
      <c r="AG7" s="67">
        <v>0.4</v>
      </c>
      <c r="AH7" s="67">
        <v>0.6</v>
      </c>
      <c r="AI7" s="67">
        <v>0.8</v>
      </c>
      <c r="AJ7" s="68">
        <v>1</v>
      </c>
      <c r="AK7" s="69"/>
      <c r="AL7" s="69"/>
      <c r="AM7" s="69"/>
      <c r="AN7" s="69"/>
      <c r="AO7" s="69"/>
      <c r="AP7" s="69"/>
      <c r="AQ7" s="69"/>
    </row>
    <row r="8" spans="1:50" ht="51" x14ac:dyDescent="0.2">
      <c r="A8" s="73" t="s">
        <v>294</v>
      </c>
      <c r="B8" s="73" t="s">
        <v>295</v>
      </c>
      <c r="C8" s="73" t="s">
        <v>325</v>
      </c>
      <c r="D8" s="73" t="s">
        <v>326</v>
      </c>
      <c r="E8" s="73" t="s">
        <v>251</v>
      </c>
      <c r="F8" s="73" t="s">
        <v>252</v>
      </c>
      <c r="G8" s="74" t="s">
        <v>69</v>
      </c>
      <c r="H8" s="73" t="s">
        <v>327</v>
      </c>
      <c r="I8" s="73" t="s">
        <v>328</v>
      </c>
      <c r="J8" s="73" t="s">
        <v>251</v>
      </c>
      <c r="K8" s="73" t="s">
        <v>252</v>
      </c>
      <c r="L8" s="73" t="s">
        <v>69</v>
      </c>
      <c r="M8" s="73" t="s">
        <v>73</v>
      </c>
      <c r="N8" s="73" t="s">
        <v>71</v>
      </c>
      <c r="O8" s="73" t="s">
        <v>329</v>
      </c>
      <c r="P8" s="73" t="s">
        <v>330</v>
      </c>
      <c r="Q8" s="73" t="s">
        <v>331</v>
      </c>
      <c r="R8" s="73" t="s">
        <v>332</v>
      </c>
      <c r="S8" s="118" t="s">
        <v>333</v>
      </c>
      <c r="T8" s="118" t="s">
        <v>334</v>
      </c>
      <c r="U8" s="73" t="s">
        <v>335</v>
      </c>
      <c r="V8" s="73" t="s">
        <v>336</v>
      </c>
      <c r="W8" s="73" t="s">
        <v>337</v>
      </c>
      <c r="X8" s="73" t="s">
        <v>338</v>
      </c>
      <c r="Y8" s="73" t="s">
        <v>339</v>
      </c>
      <c r="Z8" s="73" t="s">
        <v>83</v>
      </c>
      <c r="AA8" s="62"/>
      <c r="AB8" s="62"/>
      <c r="AD8" s="66"/>
      <c r="AE8" s="78"/>
      <c r="AF8" s="79" t="s">
        <v>270</v>
      </c>
      <c r="AG8" s="79" t="s">
        <v>274</v>
      </c>
      <c r="AH8" s="79" t="s">
        <v>278</v>
      </c>
      <c r="AI8" s="79" t="s">
        <v>283</v>
      </c>
      <c r="AJ8" s="80" t="s">
        <v>288</v>
      </c>
      <c r="AM8" s="69"/>
      <c r="AN8" s="69"/>
      <c r="AO8" s="81"/>
      <c r="AP8" s="81"/>
      <c r="AQ8" s="81"/>
      <c r="AR8" s="81"/>
      <c r="AS8" s="81"/>
      <c r="AT8" s="81"/>
      <c r="AU8" s="81"/>
      <c r="AV8" s="81"/>
      <c r="AW8" s="81"/>
      <c r="AX8" s="81"/>
    </row>
    <row r="9" spans="1:50" ht="382.5" x14ac:dyDescent="0.2">
      <c r="A9" s="82" t="str">
        <f>'2 CONTEXTO E IDENTIFICACIÓN'!A9</f>
        <v>PLES-1</v>
      </c>
      <c r="B9" s="83" t="str">
        <f>+'2 CONTEXTO E IDENTIFICACIÓN'!J9</f>
        <v>Posibilidad de afectación reputacional porla toma de decisiones de la alta dirección con información de seguimiento inexacta o no validada del Plan Estratégico Institucional y del Plan de Acción,  a causa de  de la omisión en la verificación técnica de los reportes presentados por las dependencias.</v>
      </c>
      <c r="C9" s="119">
        <f>+'3 PROBABIL E IMPACTO INHERENTE'!E9</f>
        <v>0.6</v>
      </c>
      <c r="D9" s="119">
        <f>+'3 PROBABIL E IMPACTO INHERENTE'!M9</f>
        <v>0.6</v>
      </c>
      <c r="E9" s="114" t="str">
        <f>+'4 MAPA CALOR INHERENTE'!C9</f>
        <v>Media</v>
      </c>
      <c r="F9" s="114" t="str">
        <f>+'4 MAPA CALOR INHERENTE'!D9</f>
        <v>Moderado</v>
      </c>
      <c r="G9" s="83" t="str">
        <f>+'4 MAPA CALOR INHERENTE'!E9</f>
        <v>Moderado</v>
      </c>
      <c r="H9" s="113">
        <f>+'6 MAPA CALOR RESIDUAL'!C9</f>
        <v>0.36</v>
      </c>
      <c r="I9" s="84">
        <f>+'6 MAPA CALOR RESIDUAL'!D9</f>
        <v>0.6</v>
      </c>
      <c r="J9" s="114" t="str">
        <f>+'6 MAPA CALOR RESIDUAL'!E9</f>
        <v>Baja</v>
      </c>
      <c r="K9" s="114" t="str">
        <f>+'6 MAPA CALOR RESIDUAL'!F9</f>
        <v>Moderado</v>
      </c>
      <c r="L9" s="83" t="str">
        <f>+'6 MAPA CALOR RESIDUAL'!G9</f>
        <v>Moderado</v>
      </c>
      <c r="M9" s="83" t="str">
        <f t="shared" ref="M9:M27" si="0">+IF($N9="","",IF($N9=$AG$15,$AH$15,IF($N9=$AG$18,$AH$18)))</f>
        <v>Requiere Plan de Acción</v>
      </c>
      <c r="N9" s="83" t="str">
        <f t="shared" ref="N9:N27" si="1">+IF(L9="","",IF(OR(L9=$AF$15,L9=$AF$16,L9=$AF$17),$AG$15,IF(L9=$AF$18,$AG$18)))</f>
        <v>Reducir_mitigar_Transferir_Evitar</v>
      </c>
      <c r="O9" s="205" t="s">
        <v>340</v>
      </c>
      <c r="P9" s="83" t="str">
        <f t="shared" ref="P9:P27" si="2">+IF($M9="","",IF($M9=$AH$18,$AG$18,$O9))</f>
        <v>Reducir_Mitigar</v>
      </c>
      <c r="Q9" s="205" t="str">
        <f>'5 VALORACIÓN DEL CONTROL'!I8</f>
        <v>El Profesional Especializado contrasta los soportes documentales entregados por las dependencias con las cifras reportadas en los instrumentos de seguimiento, verifica la consistencia de la información y la exactitud de los cálculos y, cuando identifica inconsistencias aritméticas o documentales, realiza las observaciones y devoluciones correspondientes, de acuerdo con los procedimientos establecidos para el seguimiento del Plan Estratégico Institucional y del Plan de Acción, previo a la consolidación de la información que será presentada al Comité Institucional de Gestión y Desempeño Como evidencia, de manera trimestral (al 30 de abril, julio, octubre, enero) deberá conservar la matriz de seguimiento utilizada para la verificación y consolidación de la información, junto con los soportes de las observaciones y recomendaciones y las certificaciones expedidas por la Secretaría Técnica del Comité Institucional de Gestión y Desempeño.</v>
      </c>
      <c r="R9" s="205" t="s">
        <v>365</v>
      </c>
      <c r="S9" s="206">
        <v>46204</v>
      </c>
      <c r="T9" s="206">
        <v>46387</v>
      </c>
      <c r="U9" s="205"/>
      <c r="V9" s="205"/>
      <c r="W9" s="205"/>
      <c r="X9" s="205"/>
      <c r="Y9" s="205"/>
      <c r="Z9" s="205"/>
      <c r="AA9" s="85"/>
      <c r="AB9" s="85"/>
      <c r="AC9" s="549" t="s">
        <v>137</v>
      </c>
      <c r="AD9" s="88">
        <v>1</v>
      </c>
      <c r="AE9" s="79" t="s">
        <v>286</v>
      </c>
      <c r="AF9" s="86" t="s">
        <v>296</v>
      </c>
      <c r="AG9" s="86" t="s">
        <v>296</v>
      </c>
      <c r="AH9" s="86" t="s">
        <v>296</v>
      </c>
      <c r="AI9" s="86" t="s">
        <v>296</v>
      </c>
      <c r="AJ9" s="87" t="s">
        <v>297</v>
      </c>
      <c r="AM9" s="69"/>
      <c r="AN9" s="69"/>
      <c r="AO9" s="81"/>
      <c r="AP9" s="81"/>
      <c r="AQ9" s="81"/>
      <c r="AR9" s="89"/>
      <c r="AS9" s="89"/>
      <c r="AT9" s="89"/>
      <c r="AU9" s="89"/>
      <c r="AV9" s="89"/>
      <c r="AW9" s="81"/>
      <c r="AX9" s="81"/>
    </row>
    <row r="10" spans="1:50" ht="395.25" x14ac:dyDescent="0.2">
      <c r="A10" s="82" t="str">
        <f>'2 CONTEXTO E IDENTIFICACIÓN'!A10</f>
        <v>PLES-2</v>
      </c>
      <c r="B10" s="83" t="str">
        <f>+'2 CONTEXTO E IDENTIFICACIÓN'!J10</f>
        <v>Posibilidad de afectación reputacional por la desarticulación a causa de la aprobación del Plan de Acción a causa de   de no integración de las metas establecidas en el Plan Estratégico Institucional y las actividades de los planes del Decreto 612 de 2018</v>
      </c>
      <c r="C10" s="119">
        <f>+'3 PROBABIL E IMPACTO INHERENTE'!E10</f>
        <v>0.6</v>
      </c>
      <c r="D10" s="119">
        <f>+'3 PROBABIL E IMPACTO INHERENTE'!M10</f>
        <v>0.6</v>
      </c>
      <c r="E10" s="114" t="str">
        <f>+'4 MAPA CALOR INHERENTE'!C10</f>
        <v>Media</v>
      </c>
      <c r="F10" s="114" t="str">
        <f>+'4 MAPA CALOR INHERENTE'!D10</f>
        <v>Moderado</v>
      </c>
      <c r="G10" s="83" t="str">
        <f>+'4 MAPA CALOR INHERENTE'!E10</f>
        <v>Moderado</v>
      </c>
      <c r="H10" s="113">
        <f>+'6 MAPA CALOR RESIDUAL'!C10</f>
        <v>0.36</v>
      </c>
      <c r="I10" s="353">
        <f>+'6 MAPA CALOR RESIDUAL'!D10</f>
        <v>0.6</v>
      </c>
      <c r="J10" s="114" t="str">
        <f>+'6 MAPA CALOR RESIDUAL'!E10</f>
        <v>Baja</v>
      </c>
      <c r="K10" s="114" t="str">
        <f>+'6 MAPA CALOR RESIDUAL'!F10</f>
        <v>Moderado</v>
      </c>
      <c r="L10" s="83" t="str">
        <f>+'6 MAPA CALOR RESIDUAL'!G10</f>
        <v>Moderado</v>
      </c>
      <c r="M10" s="83" t="str">
        <f t="shared" si="0"/>
        <v>Requiere Plan de Acción</v>
      </c>
      <c r="N10" s="83" t="str">
        <f t="shared" ref="N10:N12" si="3">+IF(L10="","",IF(OR(L10=$AF$15,L10=$AF$16,L10=$AF$17),$AG$15,IF(L10=$AF$18,$AG$18)))</f>
        <v>Reducir_mitigar_Transferir_Evitar</v>
      </c>
      <c r="O10" s="205" t="s">
        <v>340</v>
      </c>
      <c r="P10" s="83" t="str">
        <f t="shared" si="2"/>
        <v>Reducir_Mitigar</v>
      </c>
      <c r="Q10" s="205" t="str">
        <f>'5 VALORACIÓN DEL CONTROL'!I14</f>
        <v>El Profesional Especializado revisa el Plan de Acción formulado por los líderes de proceso y verifica la alineación de las actividades que correspondan con el Plan Estratégico Institucional y la articulación con los planes del Decreto 612 de 2018, así como la identificación de las actividades de gestión que, por su naturaleza, no presentan alineación, de conformidad con lo establecido en los procedimientosde planeación.  Como evidencia, de manera semestral, se deberá archivar el documento de observaciones producto de la revisión, de acuerdo con el cronograma de formulación o modificación del Plan de Acción.</v>
      </c>
      <c r="R10" s="205" t="s">
        <v>365</v>
      </c>
      <c r="S10" s="206">
        <v>46204</v>
      </c>
      <c r="T10" s="206">
        <v>46387</v>
      </c>
      <c r="U10" s="205"/>
      <c r="V10" s="205"/>
      <c r="W10" s="205"/>
      <c r="X10" s="205"/>
      <c r="Y10" s="205"/>
      <c r="Z10" s="205"/>
      <c r="AA10" s="85"/>
      <c r="AB10" s="85"/>
      <c r="AC10" s="550"/>
      <c r="AD10" s="88">
        <v>0.8</v>
      </c>
      <c r="AE10" s="79" t="s">
        <v>281</v>
      </c>
      <c r="AF10" s="90" t="s">
        <v>278</v>
      </c>
      <c r="AG10" s="90" t="s">
        <v>278</v>
      </c>
      <c r="AH10" s="86" t="s">
        <v>296</v>
      </c>
      <c r="AI10" s="86" t="s">
        <v>296</v>
      </c>
      <c r="AJ10" s="87" t="s">
        <v>297</v>
      </c>
      <c r="AM10" s="69"/>
      <c r="AN10" s="69"/>
      <c r="AO10" s="81"/>
      <c r="AP10" s="91"/>
      <c r="AQ10" s="92"/>
      <c r="AR10" s="89"/>
      <c r="AS10" s="89"/>
      <c r="AT10" s="89"/>
      <c r="AU10" s="89"/>
      <c r="AV10" s="89"/>
      <c r="AW10" s="81"/>
      <c r="AX10" s="81"/>
    </row>
    <row r="11" spans="1:50" ht="357" x14ac:dyDescent="0.2">
      <c r="A11" s="82" t="str">
        <f>'2 CONTEXTO E IDENTIFICACIÓN'!A11</f>
        <v>PLES-5</v>
      </c>
      <c r="B11" s="83" t="str">
        <f>+'2 CONTEXTO E IDENTIFICACIÓN'!J11</f>
        <v>Posibilidad de afectación económica y reputacional porel rezago en la ejecución de los proyectos de inversión  a causa de  el desconocimiento de dichos requisitos por parte del talento humano responsable en la entidad</v>
      </c>
      <c r="C11" s="119">
        <f>+'3 PROBABIL E IMPACTO INHERENTE'!E11</f>
        <v>0.6</v>
      </c>
      <c r="D11" s="119">
        <f>+'3 PROBABIL E IMPACTO INHERENTE'!M11</f>
        <v>0.6</v>
      </c>
      <c r="E11" s="114" t="str">
        <f>+'4 MAPA CALOR INHERENTE'!C11</f>
        <v>Media</v>
      </c>
      <c r="F11" s="114" t="str">
        <f>+'4 MAPA CALOR INHERENTE'!D11</f>
        <v>Moderado</v>
      </c>
      <c r="G11" s="83" t="str">
        <f>+'4 MAPA CALOR INHERENTE'!E11</f>
        <v>Moderado</v>
      </c>
      <c r="H11" s="113">
        <f>+'6 MAPA CALOR RESIDUAL'!C11</f>
        <v>0.36</v>
      </c>
      <c r="I11" s="353">
        <f>+'6 MAPA CALOR RESIDUAL'!D11</f>
        <v>0.6</v>
      </c>
      <c r="J11" s="114" t="str">
        <f>+'6 MAPA CALOR RESIDUAL'!E11</f>
        <v>Baja</v>
      </c>
      <c r="K11" s="114" t="str">
        <f>+'6 MAPA CALOR RESIDUAL'!F11</f>
        <v>Moderado</v>
      </c>
      <c r="L11" s="83" t="str">
        <f>+'6 MAPA CALOR RESIDUAL'!G11</f>
        <v>Moderado</v>
      </c>
      <c r="M11" s="83" t="str">
        <f t="shared" si="0"/>
        <v>Requiere Plan de Acción</v>
      </c>
      <c r="N11" s="83" t="str">
        <f t="shared" si="3"/>
        <v>Reducir_mitigar_Transferir_Evitar</v>
      </c>
      <c r="O11" s="205" t="s">
        <v>340</v>
      </c>
      <c r="P11" s="83" t="str">
        <f t="shared" si="2"/>
        <v>Reducir_Mitigar</v>
      </c>
      <c r="Q11" s="205" t="str">
        <f>'5 VALORACIÓN DEL CONTROL'!I20</f>
        <v>El Profesional Especializado realiza el seguimiento a la ejecución física y financiera de los proyectos de inversión, mediante la extracción, consolidación y análisis de la información reportada por las dependencias responsables, contrastando los avances registrados frente a la programación presupuestal y las metas físicas establecidas. Como resultado del seguimiento, identifica situaciones que puedan afectar el cumplimiento de las metas y, cuando corresponde, genera los respectivos alertamientos y recomendaciones, los cuales son comunicados a las dependencias responsables mediante las fichas de seguimiento y correo electrónico, para su conocimiento y gestión.  Como evidencia, de manera mensual, deberá archivar las fichas de seguimiento elaboradas y los correos electrónicos mediante los cuales se comunican los resultados, alertamientos y recomendaciones.</v>
      </c>
      <c r="R11" s="205" t="s">
        <v>365</v>
      </c>
      <c r="S11" s="206">
        <v>46204</v>
      </c>
      <c r="T11" s="206">
        <v>46387</v>
      </c>
      <c r="U11" s="205"/>
      <c r="V11" s="205"/>
      <c r="W11" s="205"/>
      <c r="X11" s="205"/>
      <c r="Y11" s="205"/>
      <c r="Z11" s="205"/>
      <c r="AA11" s="85"/>
      <c r="AB11" s="85"/>
      <c r="AC11" s="550"/>
      <c r="AD11" s="88">
        <v>0.6</v>
      </c>
      <c r="AE11" s="79" t="s">
        <v>276</v>
      </c>
      <c r="AF11" s="90" t="s">
        <v>278</v>
      </c>
      <c r="AG11" s="90" t="s">
        <v>278</v>
      </c>
      <c r="AH11" s="90" t="s">
        <v>278</v>
      </c>
      <c r="AI11" s="86" t="s">
        <v>296</v>
      </c>
      <c r="AJ11" s="87" t="s">
        <v>297</v>
      </c>
      <c r="AM11" s="69"/>
      <c r="AN11" s="69"/>
      <c r="AO11" s="81"/>
      <c r="AP11" s="91"/>
      <c r="AQ11" s="92"/>
      <c r="AR11" s="89"/>
      <c r="AS11" s="89"/>
      <c r="AT11" s="89"/>
      <c r="AU11" s="89"/>
      <c r="AV11" s="93"/>
      <c r="AW11" s="81"/>
      <c r="AX11" s="81"/>
    </row>
    <row r="12" spans="1:50" ht="140.25" x14ac:dyDescent="0.2">
      <c r="A12" s="82" t="str">
        <f>'2 CONTEXTO E IDENTIFICACIÓN'!A12</f>
        <v>PLES-4</v>
      </c>
      <c r="B12" s="83" t="str">
        <f>+'2 CONTEXTO E IDENTIFICACIÓN'!J12</f>
        <v>Posibilidad de afectación reputacional por falta de coordinación y liderazgo interno relacionado con el tema de innovación
 a causa de   la inexistencia de una politica actualizada que se ajuste  a las necesidades  de la entidad y el sector</v>
      </c>
      <c r="C12" s="119">
        <f>+'3 PROBABIL E IMPACTO INHERENTE'!E12</f>
        <v>0.4</v>
      </c>
      <c r="D12" s="119">
        <f>+'3 PROBABIL E IMPACTO INHERENTE'!M12</f>
        <v>0.4</v>
      </c>
      <c r="E12" s="114" t="str">
        <f>+'4 MAPA CALOR INHERENTE'!C12</f>
        <v>Baja</v>
      </c>
      <c r="F12" s="114" t="str">
        <f>+'4 MAPA CALOR INHERENTE'!D12</f>
        <v>Menor</v>
      </c>
      <c r="G12" s="83" t="str">
        <f>+'4 MAPA CALOR INHERENTE'!E12</f>
        <v>Moderado</v>
      </c>
      <c r="H12" s="113">
        <f>+'6 MAPA CALOR RESIDUAL'!C12</f>
        <v>0</v>
      </c>
      <c r="I12" s="353">
        <f>+'6 MAPA CALOR RESIDUAL'!D12</f>
        <v>0</v>
      </c>
      <c r="J12" s="114" t="str">
        <f>+'6 MAPA CALOR RESIDUAL'!E12</f>
        <v/>
      </c>
      <c r="K12" s="114" t="str">
        <f>+'6 MAPA CALOR RESIDUAL'!F12</f>
        <v/>
      </c>
      <c r="L12" s="83" t="str">
        <f>+'6 MAPA CALOR RESIDUAL'!G12</f>
        <v/>
      </c>
      <c r="M12" s="83" t="str">
        <f t="shared" si="0"/>
        <v/>
      </c>
      <c r="N12" s="83" t="str">
        <f t="shared" si="3"/>
        <v/>
      </c>
      <c r="O12" s="205" t="s">
        <v>340</v>
      </c>
      <c r="P12" s="83" t="str">
        <f t="shared" si="2"/>
        <v/>
      </c>
      <c r="Q12" s="205" t="str">
        <f>'5 VALORACIÓN DEL CONTROL'!I21</f>
        <v>La jefa de la Oficina Asesora de Planeación y Sistemas Verifica la ejecución de los ejes de acción establecidos en la política de gestión del conocimiento y la innovación de manera trimestral.En caso de desviaciones se emitirán las alertas respectivas al comité de gestión y desempeño. Como evidencia se dejará la matriz de cumplimiento del plan de trabajo</v>
      </c>
      <c r="R12" s="205" t="s">
        <v>365</v>
      </c>
      <c r="S12" s="206">
        <v>46204</v>
      </c>
      <c r="T12" s="206">
        <v>46387</v>
      </c>
      <c r="U12" s="205"/>
      <c r="V12" s="205"/>
      <c r="W12" s="205"/>
      <c r="X12" s="205"/>
      <c r="Y12" s="205"/>
      <c r="Z12" s="205"/>
      <c r="AA12" s="85"/>
      <c r="AB12" s="85"/>
      <c r="AC12" s="550"/>
      <c r="AD12" s="88">
        <v>0.6</v>
      </c>
      <c r="AE12" s="79" t="s">
        <v>276</v>
      </c>
      <c r="AF12" s="90" t="s">
        <v>278</v>
      </c>
      <c r="AG12" s="90" t="s">
        <v>278</v>
      </c>
      <c r="AH12" s="90" t="s">
        <v>278</v>
      </c>
      <c r="AI12" s="86" t="s">
        <v>296</v>
      </c>
      <c r="AJ12" s="87" t="s">
        <v>297</v>
      </c>
      <c r="AM12" s="69"/>
      <c r="AN12" s="69"/>
      <c r="AO12" s="81"/>
      <c r="AP12" s="91"/>
      <c r="AQ12" s="92"/>
      <c r="AR12" s="89"/>
      <c r="AS12" s="89"/>
      <c r="AT12" s="89"/>
      <c r="AU12" s="89"/>
      <c r="AV12" s="93"/>
      <c r="AW12" s="81"/>
      <c r="AX12" s="81"/>
    </row>
    <row r="13" spans="1:50" ht="93" hidden="1" customHeight="1" x14ac:dyDescent="0.2">
      <c r="A13" s="82" t="e">
        <f>'2 CONTEXTO E IDENTIFICACIÓN'!#REF!</f>
        <v>#REF!</v>
      </c>
      <c r="B13" s="83" t="e">
        <f>+'2 CONTEXTO E IDENTIFICACIÓN'!#REF!</f>
        <v>#REF!</v>
      </c>
      <c r="C13" s="119" t="str">
        <f>+'3 PROBABIL E IMPACTO INHERENTE'!E14</f>
        <v/>
      </c>
      <c r="D13" s="119" t="str">
        <f>+'3 PROBABIL E IMPACTO INHERENTE'!M14</f>
        <v/>
      </c>
      <c r="E13" s="114" t="str">
        <f>+'4 MAPA CALOR INHERENTE'!C14</f>
        <v/>
      </c>
      <c r="F13" s="114" t="str">
        <f>+'4 MAPA CALOR INHERENTE'!D14</f>
        <v/>
      </c>
      <c r="G13" s="83" t="str">
        <f>+'4 MAPA CALOR INHERENTE'!E14</f>
        <v/>
      </c>
      <c r="H13" s="113">
        <f>+'5 VALORACIÓN DEL CONTROL'!T44</f>
        <v>0.36</v>
      </c>
      <c r="I13" s="84" t="str">
        <f>+'5 VALORACIÓN DEL CONTROL'!U44</f>
        <v/>
      </c>
      <c r="J13" s="114" t="e">
        <f>+IF(H13=0,"",IF(H13&lt;=#REF!,#REF!,IF(H13&lt;=#REF!,#REF!,IF(H13&lt;=$AD$12,$AE$12,IF(H13&lt;=$AD$10,$AE$10,IF(H13&lt;=$AD$9,$AE$9,""))))))</f>
        <v>#REF!</v>
      </c>
      <c r="K13" s="114" t="str">
        <f t="shared" ref="K13:K27" si="4">+IF(I13=0,"",IF(I13&lt;=$AF$7,$AF$8,IF(I13&lt;=$AG$7,$AG$8,IF(I13&lt;=$AH$7,$AH$8,IF(I13&lt;=$AI$7,$AI$8,IF(I13&lt;=$AJ$7,$AJ$8,""))))))</f>
        <v/>
      </c>
      <c r="L13" s="83" t="e">
        <f>+IF(J13=$AE$9,IF(K13=$AF$8,$AF$9,IF(K13=$AG$8,$AG$9,IF(K13=$AH$8,$AH$9,IF(K13=$AI$8,$AI$9,IF(K13=$AJ$8,$AJ$9))))),IF(J13=$AE$10,IF(K13=$AF$8,$AF$10,IF(K13=$AG$8,$AG$10,IF(K13=$AH$8,$AH$10,IF(K13=$AI$8,$AI$10,IF(K13=$AJ$8,$AJ$10))))),IF(J13=$AE$12,IF(K13=$AF$8,$AF$12,IF(K13=$AG$8,$AG$12,IF(K13=$AH$8,$AH$12,IF(K13=$AI$8,$AI$12,IF(K13=$AJ$8,$AJ$12))))),IF(J13=#REF!,IF(K13=$AF$8,#REF!,IF(K13=$AG$8,#REF!,IF(K13=$AH$8,#REF!,IF(K13=$AI$8,#REF!,IF(K13=$AJ$8,#REF!))))),IF(J13=#REF!,IF(K13=$AF$8,#REF!,IF(K13=$AG$8,#REF!,IF(K13=$AH$8,#REF!,IF(K13=$AI$8,#REF!,IF(K13=$AJ$8,#REF!))))),"")))))</f>
        <v>#REF!</v>
      </c>
      <c r="M13" s="83" t="e">
        <f t="shared" si="0"/>
        <v>#REF!</v>
      </c>
      <c r="N13" s="83" t="e">
        <f t="shared" si="1"/>
        <v>#REF!</v>
      </c>
      <c r="O13" s="205"/>
      <c r="P13" s="83" t="e">
        <f t="shared" si="2"/>
        <v>#REF!</v>
      </c>
      <c r="Q13" s="205"/>
      <c r="R13" s="205"/>
      <c r="S13" s="206"/>
      <c r="T13" s="206"/>
      <c r="U13" s="205"/>
      <c r="V13" s="205"/>
      <c r="W13" s="205"/>
      <c r="X13" s="205"/>
      <c r="Y13" s="205"/>
      <c r="Z13" s="205"/>
      <c r="AA13" s="85"/>
      <c r="AB13" s="85"/>
      <c r="AM13" s="69"/>
      <c r="AN13" s="69"/>
      <c r="AO13" s="81"/>
      <c r="AP13" s="91"/>
      <c r="AQ13" s="92"/>
      <c r="AR13" s="89"/>
      <c r="AS13" s="89"/>
      <c r="AT13" s="89"/>
      <c r="AU13" s="89"/>
      <c r="AV13" s="89"/>
      <c r="AW13" s="81"/>
      <c r="AX13" s="81"/>
    </row>
    <row r="14" spans="1:50" ht="93" hidden="1" customHeight="1" x14ac:dyDescent="0.2">
      <c r="A14" s="82" t="e">
        <f>'2 CONTEXTO E IDENTIFICACIÓN'!#REF!</f>
        <v>#REF!</v>
      </c>
      <c r="B14" s="83" t="e">
        <f>+'2 CONTEXTO E IDENTIFICACIÓN'!#REF!</f>
        <v>#REF!</v>
      </c>
      <c r="C14" s="119" t="str">
        <f>+'3 PROBABIL E IMPACTO INHERENTE'!E15</f>
        <v/>
      </c>
      <c r="D14" s="119" t="str">
        <f>+'3 PROBABIL E IMPACTO INHERENTE'!M15</f>
        <v/>
      </c>
      <c r="E14" s="114" t="str">
        <f>+'4 MAPA CALOR INHERENTE'!C15</f>
        <v/>
      </c>
      <c r="F14" s="114" t="str">
        <f>+'4 MAPA CALOR INHERENTE'!D15</f>
        <v/>
      </c>
      <c r="G14" s="83" t="str">
        <f>+'4 MAPA CALOR INHERENTE'!E15</f>
        <v/>
      </c>
      <c r="H14" s="113">
        <f>+'5 VALORACIÓN DEL CONTROL'!T50</f>
        <v>0.36</v>
      </c>
      <c r="I14" s="84" t="str">
        <f>+'5 VALORACIÓN DEL CONTROL'!U50</f>
        <v/>
      </c>
      <c r="J14" s="114" t="e">
        <f>+IF(H14=0,"",IF(H14&lt;=#REF!,#REF!,IF(H14&lt;=#REF!,#REF!,IF(H14&lt;=$AD$12,$AE$12,IF(H14&lt;=$AD$10,$AE$10,IF(H14&lt;=$AD$9,$AE$9,""))))))</f>
        <v>#REF!</v>
      </c>
      <c r="K14" s="114" t="str">
        <f t="shared" si="4"/>
        <v/>
      </c>
      <c r="L14" s="83" t="e">
        <f>+IF(J14=$AE$9,IF(K14=$AF$8,$AF$9,IF(K14=$AG$8,$AG$9,IF(K14=$AH$8,$AH$9,IF(K14=$AI$8,$AI$9,IF(K14=$AJ$8,$AJ$9))))),IF(J14=$AE$10,IF(K14=$AF$8,$AF$10,IF(K14=$AG$8,$AG$10,IF(K14=$AH$8,$AH$10,IF(K14=$AI$8,$AI$10,IF(K14=$AJ$8,$AJ$10))))),IF(J14=$AE$12,IF(K14=$AF$8,$AF$12,IF(K14=$AG$8,$AG$12,IF(K14=$AH$8,$AH$12,IF(K14=$AI$8,$AI$12,IF(K14=$AJ$8,$AJ$12))))),IF(J14=#REF!,IF(K14=$AF$8,#REF!,IF(K14=$AG$8,#REF!,IF(K14=$AH$8,#REF!,IF(K14=$AI$8,#REF!,IF(K14=$AJ$8,#REF!))))),IF(J14=#REF!,IF(K14=$AF$8,#REF!,IF(K14=$AG$8,#REF!,IF(K14=$AH$8,#REF!,IF(K14=$AI$8,#REF!,IF(K14=$AJ$8,#REF!))))),"")))))</f>
        <v>#REF!</v>
      </c>
      <c r="M14" s="83" t="e">
        <f t="shared" si="0"/>
        <v>#REF!</v>
      </c>
      <c r="N14" s="83" t="e">
        <f t="shared" si="1"/>
        <v>#REF!</v>
      </c>
      <c r="O14" s="205"/>
      <c r="P14" s="83" t="e">
        <f t="shared" si="2"/>
        <v>#REF!</v>
      </c>
      <c r="Q14" s="205"/>
      <c r="R14" s="205"/>
      <c r="S14" s="206"/>
      <c r="T14" s="206"/>
      <c r="U14" s="205"/>
      <c r="V14" s="205"/>
      <c r="W14" s="205"/>
      <c r="X14" s="205"/>
      <c r="Y14" s="205"/>
      <c r="Z14" s="205"/>
      <c r="AA14" s="85"/>
      <c r="AB14" s="85"/>
      <c r="AF14" s="73" t="s">
        <v>299</v>
      </c>
      <c r="AG14" s="73" t="s">
        <v>71</v>
      </c>
      <c r="AH14" s="73" t="s">
        <v>73</v>
      </c>
      <c r="AJ14" s="78" t="s">
        <v>341</v>
      </c>
      <c r="AK14" s="69"/>
      <c r="AL14" s="69"/>
      <c r="AM14" s="69"/>
      <c r="AN14" s="69"/>
      <c r="AO14" s="81"/>
      <c r="AP14" s="91"/>
      <c r="AQ14" s="81"/>
      <c r="AR14" s="92"/>
      <c r="AS14" s="92"/>
      <c r="AT14" s="92"/>
      <c r="AU14" s="92"/>
      <c r="AV14" s="92"/>
      <c r="AW14" s="81"/>
      <c r="AX14" s="81"/>
    </row>
    <row r="15" spans="1:50" ht="93" hidden="1" customHeight="1" x14ac:dyDescent="0.2">
      <c r="A15" s="82" t="e">
        <f>'2 CONTEXTO E IDENTIFICACIÓN'!#REF!</f>
        <v>#REF!</v>
      </c>
      <c r="B15" s="83" t="e">
        <f>+'2 CONTEXTO E IDENTIFICACIÓN'!#REF!</f>
        <v>#REF!</v>
      </c>
      <c r="C15" s="119" t="str">
        <f>+'3 PROBABIL E IMPACTO INHERENTE'!E16</f>
        <v/>
      </c>
      <c r="D15" s="119" t="str">
        <f>+'3 PROBABIL E IMPACTO INHERENTE'!M16</f>
        <v/>
      </c>
      <c r="E15" s="114" t="str">
        <f>+'4 MAPA CALOR INHERENTE'!C16</f>
        <v/>
      </c>
      <c r="F15" s="114" t="str">
        <f>+'4 MAPA CALOR INHERENTE'!D16</f>
        <v/>
      </c>
      <c r="G15" s="83" t="str">
        <f>+'4 MAPA CALOR INHERENTE'!E16</f>
        <v/>
      </c>
      <c r="H15" s="113">
        <f>+'5 VALORACIÓN DEL CONTROL'!T56</f>
        <v>0.36</v>
      </c>
      <c r="I15" s="84" t="str">
        <f>+'5 VALORACIÓN DEL CONTROL'!U56</f>
        <v/>
      </c>
      <c r="J15" s="114" t="e">
        <f>+IF(H15=0,"",IF(H15&lt;=#REF!,#REF!,IF(H15&lt;=#REF!,#REF!,IF(H15&lt;=$AD$12,$AE$12,IF(H15&lt;=$AD$10,$AE$10,IF(H15&lt;=$AD$9,$AE$9,""))))))</f>
        <v>#REF!</v>
      </c>
      <c r="K15" s="114" t="str">
        <f t="shared" si="4"/>
        <v/>
      </c>
      <c r="L15" s="83" t="e">
        <f>+IF(J15=$AE$9,IF(K15=$AF$8,$AF$9,IF(K15=$AG$8,$AG$9,IF(K15=$AH$8,$AH$9,IF(K15=$AI$8,$AI$9,IF(K15=$AJ$8,$AJ$9))))),IF(J15=$AE$10,IF(K15=$AF$8,$AF$10,IF(K15=$AG$8,$AG$10,IF(K15=$AH$8,$AH$10,IF(K15=$AI$8,$AI$10,IF(K15=$AJ$8,$AJ$10))))),IF(J15=$AE$12,IF(K15=$AF$8,$AF$12,IF(K15=$AG$8,$AG$12,IF(K15=$AH$8,$AH$12,IF(K15=$AI$8,$AI$12,IF(K15=$AJ$8,$AJ$12))))),IF(J15=#REF!,IF(K15=$AF$8,#REF!,IF(K15=$AG$8,#REF!,IF(K15=$AH$8,#REF!,IF(K15=$AI$8,#REF!,IF(K15=$AJ$8,#REF!))))),IF(J15=#REF!,IF(K15=$AF$8,#REF!,IF(K15=$AG$8,#REF!,IF(K15=$AH$8,#REF!,IF(K15=$AI$8,#REF!,IF(K15=$AJ$8,#REF!))))),"")))))</f>
        <v>#REF!</v>
      </c>
      <c r="M15" s="83" t="e">
        <f t="shared" si="0"/>
        <v>#REF!</v>
      </c>
      <c r="N15" s="83" t="e">
        <f t="shared" si="1"/>
        <v>#REF!</v>
      </c>
      <c r="O15" s="205"/>
      <c r="P15" s="83" t="e">
        <f t="shared" si="2"/>
        <v>#REF!</v>
      </c>
      <c r="Q15" s="205"/>
      <c r="R15" s="205"/>
      <c r="S15" s="206"/>
      <c r="T15" s="206"/>
      <c r="U15" s="205"/>
      <c r="V15" s="205"/>
      <c r="W15" s="205"/>
      <c r="X15" s="205"/>
      <c r="Y15" s="205"/>
      <c r="Z15" s="205"/>
      <c r="AA15" s="85"/>
      <c r="AB15" s="85"/>
      <c r="AF15" s="103" t="s">
        <v>297</v>
      </c>
      <c r="AG15" s="78" t="s">
        <v>341</v>
      </c>
      <c r="AH15" s="78" t="s">
        <v>342</v>
      </c>
      <c r="AI15" s="69"/>
      <c r="AJ15" s="292" t="s">
        <v>340</v>
      </c>
      <c r="AM15" s="69"/>
      <c r="AN15" s="69"/>
      <c r="AO15" s="81"/>
      <c r="AP15" s="81"/>
      <c r="AQ15" s="81"/>
      <c r="AR15" s="89"/>
      <c r="AS15" s="89"/>
      <c r="AT15" s="89"/>
      <c r="AU15" s="89"/>
      <c r="AV15" s="89"/>
      <c r="AW15" s="81"/>
      <c r="AX15" s="81"/>
    </row>
    <row r="16" spans="1:50" ht="93" hidden="1" customHeight="1" x14ac:dyDescent="0.2">
      <c r="A16" s="82" t="e">
        <f>'2 CONTEXTO E IDENTIFICACIÓN'!#REF!</f>
        <v>#REF!</v>
      </c>
      <c r="B16" s="83" t="e">
        <f>+'2 CONTEXTO E IDENTIFICACIÓN'!#REF!</f>
        <v>#REF!</v>
      </c>
      <c r="C16" s="119" t="str">
        <f>+'3 PROBABIL E IMPACTO INHERENTE'!E17</f>
        <v/>
      </c>
      <c r="D16" s="119" t="str">
        <f>+'3 PROBABIL E IMPACTO INHERENTE'!M17</f>
        <v/>
      </c>
      <c r="E16" s="114" t="str">
        <f>+'4 MAPA CALOR INHERENTE'!C17</f>
        <v/>
      </c>
      <c r="F16" s="114" t="str">
        <f>+'4 MAPA CALOR INHERENTE'!D17</f>
        <v/>
      </c>
      <c r="G16" s="83" t="str">
        <f>+'4 MAPA CALOR INHERENTE'!E17</f>
        <v/>
      </c>
      <c r="H16" s="113">
        <f>+'5 VALORACIÓN DEL CONTROL'!T62</f>
        <v>0.36</v>
      </c>
      <c r="I16" s="84" t="str">
        <f>+'5 VALORACIÓN DEL CONTROL'!U62</f>
        <v/>
      </c>
      <c r="J16" s="114" t="e">
        <f>+IF(H16=0,"",IF(H16&lt;=#REF!,#REF!,IF(H16&lt;=#REF!,#REF!,IF(H16&lt;=$AD$12,$AE$12,IF(H16&lt;=$AD$10,$AE$10,IF(H16&lt;=$AD$9,$AE$9,""))))))</f>
        <v>#REF!</v>
      </c>
      <c r="K16" s="114" t="str">
        <f t="shared" si="4"/>
        <v/>
      </c>
      <c r="L16" s="83" t="e">
        <f>+IF(J16=$AE$9,IF(K16=$AF$8,$AF$9,IF(K16=$AG$8,$AG$9,IF(K16=$AH$8,$AH$9,IF(K16=$AI$8,$AI$9,IF(K16=$AJ$8,$AJ$9))))),IF(J16=$AE$10,IF(K16=$AF$8,$AF$10,IF(K16=$AG$8,$AG$10,IF(K16=$AH$8,$AH$10,IF(K16=$AI$8,$AI$10,IF(K16=$AJ$8,$AJ$10))))),IF(J16=$AE$12,IF(K16=$AF$8,$AF$12,IF(K16=$AG$8,$AG$12,IF(K16=$AH$8,$AH$12,IF(K16=$AI$8,$AI$12,IF(K16=$AJ$8,$AJ$12))))),IF(J16=#REF!,IF(K16=$AF$8,#REF!,IF(K16=$AG$8,#REF!,IF(K16=$AH$8,#REF!,IF(K16=$AI$8,#REF!,IF(K16=$AJ$8,#REF!))))),IF(J16=#REF!,IF(K16=$AF$8,#REF!,IF(K16=$AG$8,#REF!,IF(K16=$AH$8,#REF!,IF(K16=$AI$8,#REF!,IF(K16=$AJ$8,#REF!))))),"")))))</f>
        <v>#REF!</v>
      </c>
      <c r="M16" s="83" t="e">
        <f t="shared" si="0"/>
        <v>#REF!</v>
      </c>
      <c r="N16" s="83" t="e">
        <f t="shared" si="1"/>
        <v>#REF!</v>
      </c>
      <c r="O16" s="205"/>
      <c r="P16" s="83" t="e">
        <f t="shared" si="2"/>
        <v>#REF!</v>
      </c>
      <c r="Q16" s="205"/>
      <c r="R16" s="205"/>
      <c r="S16" s="206"/>
      <c r="T16" s="206"/>
      <c r="U16" s="205"/>
      <c r="V16" s="205"/>
      <c r="W16" s="205"/>
      <c r="X16" s="205"/>
      <c r="Y16" s="205"/>
      <c r="Z16" s="205"/>
      <c r="AA16" s="85"/>
      <c r="AB16" s="85"/>
      <c r="AF16" s="86" t="s">
        <v>296</v>
      </c>
      <c r="AG16" s="78" t="s">
        <v>341</v>
      </c>
      <c r="AH16" s="78" t="s">
        <v>342</v>
      </c>
      <c r="AI16" s="69"/>
      <c r="AJ16" s="292" t="s">
        <v>343</v>
      </c>
      <c r="AK16" s="69"/>
      <c r="AL16" s="69"/>
      <c r="AM16" s="69"/>
      <c r="AN16" s="69"/>
      <c r="AO16" s="81"/>
      <c r="AP16" s="81"/>
      <c r="AQ16" s="81"/>
      <c r="AR16" s="89"/>
      <c r="AS16" s="89"/>
      <c r="AT16" s="89"/>
      <c r="AU16" s="89"/>
      <c r="AV16" s="89"/>
      <c r="AW16" s="81"/>
      <c r="AX16" s="81"/>
    </row>
    <row r="17" spans="1:50" ht="93" hidden="1" customHeight="1" x14ac:dyDescent="0.2">
      <c r="A17" s="82" t="e">
        <f>'2 CONTEXTO E IDENTIFICACIÓN'!#REF!</f>
        <v>#REF!</v>
      </c>
      <c r="B17" s="83" t="e">
        <f>+'2 CONTEXTO E IDENTIFICACIÓN'!#REF!</f>
        <v>#REF!</v>
      </c>
      <c r="C17" s="119" t="str">
        <f>+'3 PROBABIL E IMPACTO INHERENTE'!E18</f>
        <v/>
      </c>
      <c r="D17" s="119" t="str">
        <f>+'3 PROBABIL E IMPACTO INHERENTE'!M18</f>
        <v/>
      </c>
      <c r="E17" s="114" t="str">
        <f>+'4 MAPA CALOR INHERENTE'!C18</f>
        <v/>
      </c>
      <c r="F17" s="114" t="str">
        <f>+'4 MAPA CALOR INHERENTE'!D18</f>
        <v/>
      </c>
      <c r="G17" s="83" t="str">
        <f>+'4 MAPA CALOR INHERENTE'!E18</f>
        <v/>
      </c>
      <c r="H17" s="113">
        <f>+'5 VALORACIÓN DEL CONTROL'!T68</f>
        <v>0.36</v>
      </c>
      <c r="I17" s="84" t="str">
        <f>+'5 VALORACIÓN DEL CONTROL'!U68</f>
        <v/>
      </c>
      <c r="J17" s="114" t="e">
        <f>+IF(H17=0,"",IF(H17&lt;=#REF!,#REF!,IF(H17&lt;=#REF!,#REF!,IF(H17&lt;=$AD$12,$AE$12,IF(H17&lt;=$AD$10,$AE$10,IF(H17&lt;=$AD$9,$AE$9,""))))))</f>
        <v>#REF!</v>
      </c>
      <c r="K17" s="114" t="str">
        <f t="shared" si="4"/>
        <v/>
      </c>
      <c r="L17" s="83" t="e">
        <f>+IF(J17=$AE$9,IF(K17=$AF$8,$AF$9,IF(K17=$AG$8,$AG$9,IF(K17=$AH$8,$AH$9,IF(K17=$AI$8,$AI$9,IF(K17=$AJ$8,$AJ$9))))),IF(J17=$AE$10,IF(K17=$AF$8,$AF$10,IF(K17=$AG$8,$AG$10,IF(K17=$AH$8,$AH$10,IF(K17=$AI$8,$AI$10,IF(K17=$AJ$8,$AJ$10))))),IF(J17=$AE$12,IF(K17=$AF$8,$AF$12,IF(K17=$AG$8,$AG$12,IF(K17=$AH$8,$AH$12,IF(K17=$AI$8,$AI$12,IF(K17=$AJ$8,$AJ$12))))),IF(J17=#REF!,IF(K17=$AF$8,#REF!,IF(K17=$AG$8,#REF!,IF(K17=$AH$8,#REF!,IF(K17=$AI$8,#REF!,IF(K17=$AJ$8,#REF!))))),IF(J17=#REF!,IF(K17=$AF$8,#REF!,IF(K17=$AG$8,#REF!,IF(K17=$AH$8,#REF!,IF(K17=$AI$8,#REF!,IF(K17=$AJ$8,#REF!))))),"")))))</f>
        <v>#REF!</v>
      </c>
      <c r="M17" s="83" t="e">
        <f t="shared" si="0"/>
        <v>#REF!</v>
      </c>
      <c r="N17" s="83" t="e">
        <f t="shared" si="1"/>
        <v>#REF!</v>
      </c>
      <c r="O17" s="205"/>
      <c r="P17" s="83" t="e">
        <f t="shared" si="2"/>
        <v>#REF!</v>
      </c>
      <c r="Q17" s="205"/>
      <c r="R17" s="205"/>
      <c r="S17" s="206"/>
      <c r="T17" s="206"/>
      <c r="U17" s="205"/>
      <c r="V17" s="205"/>
      <c r="W17" s="205"/>
      <c r="X17" s="205"/>
      <c r="Y17" s="205"/>
      <c r="Z17" s="205"/>
      <c r="AA17" s="85"/>
      <c r="AB17" s="85"/>
      <c r="AE17" s="104"/>
      <c r="AF17" s="90" t="s">
        <v>278</v>
      </c>
      <c r="AG17" s="78" t="s">
        <v>341</v>
      </c>
      <c r="AH17" s="78" t="s">
        <v>342</v>
      </c>
      <c r="AI17" s="104"/>
      <c r="AJ17" s="292" t="s">
        <v>160</v>
      </c>
      <c r="AK17" s="104"/>
      <c r="AL17" s="104"/>
      <c r="AM17" s="104"/>
      <c r="AN17" s="104"/>
      <c r="AO17" s="81"/>
      <c r="AP17" s="81"/>
      <c r="AQ17" s="105"/>
      <c r="AR17" s="105"/>
      <c r="AS17" s="105"/>
      <c r="AT17" s="105"/>
      <c r="AU17" s="105"/>
      <c r="AV17" s="105"/>
      <c r="AW17" s="81"/>
      <c r="AX17" s="81"/>
    </row>
    <row r="18" spans="1:50" ht="93" hidden="1" customHeight="1" x14ac:dyDescent="0.2">
      <c r="A18" s="82" t="e">
        <f>'2 CONTEXTO E IDENTIFICACIÓN'!#REF!</f>
        <v>#REF!</v>
      </c>
      <c r="B18" s="83" t="e">
        <f>+'2 CONTEXTO E IDENTIFICACIÓN'!#REF!</f>
        <v>#REF!</v>
      </c>
      <c r="C18" s="119" t="str">
        <f>+'3 PROBABIL E IMPACTO INHERENTE'!E19</f>
        <v/>
      </c>
      <c r="D18" s="119" t="str">
        <f>+'3 PROBABIL E IMPACTO INHERENTE'!M19</f>
        <v/>
      </c>
      <c r="E18" s="114" t="str">
        <f>+'4 MAPA CALOR INHERENTE'!C19</f>
        <v/>
      </c>
      <c r="F18" s="114" t="str">
        <f>+'4 MAPA CALOR INHERENTE'!D19</f>
        <v/>
      </c>
      <c r="G18" s="83" t="str">
        <f>+'4 MAPA CALOR INHERENTE'!E19</f>
        <v/>
      </c>
      <c r="H18" s="113">
        <f>+'5 VALORACIÓN DEL CONTROL'!T74</f>
        <v>0.36</v>
      </c>
      <c r="I18" s="84" t="str">
        <f>+'5 VALORACIÓN DEL CONTROL'!U74</f>
        <v/>
      </c>
      <c r="J18" s="114" t="e">
        <f>+IF(H18=0,"",IF(H18&lt;=#REF!,#REF!,IF(H18&lt;=#REF!,#REF!,IF(H18&lt;=$AD$12,$AE$12,IF(H18&lt;=$AD$10,$AE$10,IF(H18&lt;=$AD$9,$AE$9,""))))))</f>
        <v>#REF!</v>
      </c>
      <c r="K18" s="114" t="str">
        <f t="shared" si="4"/>
        <v/>
      </c>
      <c r="L18" s="83" t="e">
        <f>+IF(J18=$AE$9,IF(K18=$AF$8,$AF$9,IF(K18=$AG$8,$AG$9,IF(K18=$AH$8,$AH$9,IF(K18=$AI$8,$AI$9,IF(K18=$AJ$8,$AJ$9))))),IF(J18=$AE$10,IF(K18=$AF$8,$AF$10,IF(K18=$AG$8,$AG$10,IF(K18=$AH$8,$AH$10,IF(K18=$AI$8,$AI$10,IF(K18=$AJ$8,$AJ$10))))),IF(J18=$AE$12,IF(K18=$AF$8,$AF$12,IF(K18=$AG$8,$AG$12,IF(K18=$AH$8,$AH$12,IF(K18=$AI$8,$AI$12,IF(K18=$AJ$8,$AJ$12))))),IF(J18=#REF!,IF(K18=$AF$8,#REF!,IF(K18=$AG$8,#REF!,IF(K18=$AH$8,#REF!,IF(K18=$AI$8,#REF!,IF(K18=$AJ$8,#REF!))))),IF(J18=#REF!,IF(K18=$AF$8,#REF!,IF(K18=$AG$8,#REF!,IF(K18=$AH$8,#REF!,IF(K18=$AI$8,#REF!,IF(K18=$AJ$8,#REF!))))),"")))))</f>
        <v>#REF!</v>
      </c>
      <c r="M18" s="83" t="e">
        <f t="shared" si="0"/>
        <v>#REF!</v>
      </c>
      <c r="N18" s="83" t="e">
        <f t="shared" si="1"/>
        <v>#REF!</v>
      </c>
      <c r="O18" s="205"/>
      <c r="P18" s="83" t="e">
        <f t="shared" si="2"/>
        <v>#REF!</v>
      </c>
      <c r="Q18" s="205"/>
      <c r="R18" s="205"/>
      <c r="S18" s="206"/>
      <c r="T18" s="206"/>
      <c r="U18" s="205"/>
      <c r="V18" s="205"/>
      <c r="W18" s="205"/>
      <c r="X18" s="205"/>
      <c r="Y18" s="205"/>
      <c r="Z18" s="205"/>
      <c r="AA18" s="85"/>
      <c r="AB18" s="85"/>
      <c r="AE18" s="104"/>
      <c r="AF18" s="94" t="s">
        <v>298</v>
      </c>
      <c r="AG18" s="78" t="s">
        <v>157</v>
      </c>
      <c r="AH18" s="78" t="s">
        <v>344</v>
      </c>
      <c r="AM18" s="104"/>
      <c r="AN18" s="104"/>
      <c r="AO18" s="81"/>
      <c r="AP18" s="81"/>
      <c r="AQ18" s="81"/>
      <c r="AR18" s="89"/>
      <c r="AS18" s="89"/>
      <c r="AT18" s="89"/>
      <c r="AU18" s="89"/>
      <c r="AV18" s="89"/>
      <c r="AW18" s="81"/>
      <c r="AX18" s="81"/>
    </row>
    <row r="19" spans="1:50" ht="93" hidden="1" customHeight="1" x14ac:dyDescent="0.2">
      <c r="A19" s="82" t="e">
        <f>'2 CONTEXTO E IDENTIFICACIÓN'!#REF!</f>
        <v>#REF!</v>
      </c>
      <c r="B19" s="83" t="e">
        <f>+'2 CONTEXTO E IDENTIFICACIÓN'!#REF!</f>
        <v>#REF!</v>
      </c>
      <c r="C19" s="119" t="str">
        <f>+'3 PROBABIL E IMPACTO INHERENTE'!E20</f>
        <v/>
      </c>
      <c r="D19" s="119" t="str">
        <f>+'3 PROBABIL E IMPACTO INHERENTE'!M20</f>
        <v/>
      </c>
      <c r="E19" s="114" t="str">
        <f>+'4 MAPA CALOR INHERENTE'!C20</f>
        <v/>
      </c>
      <c r="F19" s="114" t="str">
        <f>+'4 MAPA CALOR INHERENTE'!D20</f>
        <v/>
      </c>
      <c r="G19" s="83" t="str">
        <f>+'4 MAPA CALOR INHERENTE'!E20</f>
        <v/>
      </c>
      <c r="H19" s="113">
        <f>+'5 VALORACIÓN DEL CONTROL'!T80</f>
        <v>0.36</v>
      </c>
      <c r="I19" s="84" t="str">
        <f>+'5 VALORACIÓN DEL CONTROL'!U80</f>
        <v/>
      </c>
      <c r="J19" s="114" t="e">
        <f>+IF(H19=0,"",IF(H19&lt;=#REF!,#REF!,IF(H19&lt;=#REF!,#REF!,IF(H19&lt;=$AD$12,$AE$12,IF(H19&lt;=$AD$10,$AE$10,IF(H19&lt;=$AD$9,$AE$9,""))))))</f>
        <v>#REF!</v>
      </c>
      <c r="K19" s="114" t="str">
        <f t="shared" si="4"/>
        <v/>
      </c>
      <c r="L19" s="83" t="e">
        <f>+IF(J19=$AE$9,IF(K19=$AF$8,$AF$9,IF(K19=$AG$8,$AG$9,IF(K19=$AH$8,$AH$9,IF(K19=$AI$8,$AI$9,IF(K19=$AJ$8,$AJ$9))))),IF(J19=$AE$10,IF(K19=$AF$8,$AF$10,IF(K19=$AG$8,$AG$10,IF(K19=$AH$8,$AH$10,IF(K19=$AI$8,$AI$10,IF(K19=$AJ$8,$AJ$10))))),IF(J19=$AE$12,IF(K19=$AF$8,$AF$12,IF(K19=$AG$8,$AG$12,IF(K19=$AH$8,$AH$12,IF(K19=$AI$8,$AI$12,IF(K19=$AJ$8,$AJ$12))))),IF(J19=#REF!,IF(K19=$AF$8,#REF!,IF(K19=$AG$8,#REF!,IF(K19=$AH$8,#REF!,IF(K19=$AI$8,#REF!,IF(K19=$AJ$8,#REF!))))),IF(J19=#REF!,IF(K19=$AF$8,#REF!,IF(K19=$AG$8,#REF!,IF(K19=$AH$8,#REF!,IF(K19=$AI$8,#REF!,IF(K19=$AJ$8,#REF!))))),"")))))</f>
        <v>#REF!</v>
      </c>
      <c r="M19" s="83" t="e">
        <f t="shared" si="0"/>
        <v>#REF!</v>
      </c>
      <c r="N19" s="83" t="e">
        <f t="shared" si="1"/>
        <v>#REF!</v>
      </c>
      <c r="O19" s="205"/>
      <c r="P19" s="83" t="e">
        <f t="shared" si="2"/>
        <v>#REF!</v>
      </c>
      <c r="Q19" s="205"/>
      <c r="R19" s="205"/>
      <c r="S19" s="206"/>
      <c r="T19" s="206"/>
      <c r="U19" s="205"/>
      <c r="V19" s="205"/>
      <c r="W19" s="205"/>
      <c r="X19" s="205"/>
      <c r="Y19" s="205"/>
      <c r="Z19" s="205"/>
      <c r="AA19" s="85"/>
      <c r="AB19" s="85"/>
      <c r="AC19" s="106"/>
      <c r="AD19" s="106"/>
      <c r="AE19" s="104"/>
      <c r="AF19" s="181"/>
      <c r="AM19" s="104"/>
      <c r="AN19" s="104"/>
      <c r="AO19" s="81"/>
      <c r="AP19" s="81"/>
      <c r="AQ19" s="81"/>
      <c r="AR19" s="89"/>
      <c r="AS19" s="89"/>
      <c r="AT19" s="89"/>
      <c r="AU19" s="89"/>
      <c r="AV19" s="89"/>
      <c r="AW19" s="81"/>
      <c r="AX19" s="81"/>
    </row>
    <row r="20" spans="1:50" ht="93" hidden="1" customHeight="1" x14ac:dyDescent="0.2">
      <c r="A20" s="82" t="e">
        <f>'2 CONTEXTO E IDENTIFICACIÓN'!#REF!</f>
        <v>#REF!</v>
      </c>
      <c r="B20" s="83" t="e">
        <f>+'2 CONTEXTO E IDENTIFICACIÓN'!#REF!</f>
        <v>#REF!</v>
      </c>
      <c r="C20" s="119" t="str">
        <f>+'3 PROBABIL E IMPACTO INHERENTE'!E21</f>
        <v/>
      </c>
      <c r="D20" s="119" t="str">
        <f>+'3 PROBABIL E IMPACTO INHERENTE'!M21</f>
        <v/>
      </c>
      <c r="E20" s="114" t="str">
        <f>+'4 MAPA CALOR INHERENTE'!C21</f>
        <v/>
      </c>
      <c r="F20" s="114" t="str">
        <f>+'4 MAPA CALOR INHERENTE'!D21</f>
        <v/>
      </c>
      <c r="G20" s="83" t="str">
        <f>+'4 MAPA CALOR INHERENTE'!E21</f>
        <v/>
      </c>
      <c r="H20" s="113">
        <f>+'5 VALORACIÓN DEL CONTROL'!T86</f>
        <v>0.36</v>
      </c>
      <c r="I20" s="84" t="str">
        <f>+'5 VALORACIÓN DEL CONTROL'!U86</f>
        <v/>
      </c>
      <c r="J20" s="114" t="e">
        <f>+IF(H20=0,"",IF(H20&lt;=#REF!,#REF!,IF(H20&lt;=#REF!,#REF!,IF(H20&lt;=$AD$12,$AE$12,IF(H20&lt;=$AD$10,$AE$10,IF(H20&lt;=$AD$9,$AE$9,""))))))</f>
        <v>#REF!</v>
      </c>
      <c r="K20" s="114" t="str">
        <f t="shared" si="4"/>
        <v/>
      </c>
      <c r="L20" s="83" t="e">
        <f>+IF(J20=$AE$9,IF(K20=$AF$8,$AF$9,IF(K20=$AG$8,$AG$9,IF(K20=$AH$8,$AH$9,IF(K20=$AI$8,$AI$9,IF(K20=$AJ$8,$AJ$9))))),IF(J20=$AE$10,IF(K20=$AF$8,$AF$10,IF(K20=$AG$8,$AG$10,IF(K20=$AH$8,$AH$10,IF(K20=$AI$8,$AI$10,IF(K20=$AJ$8,$AJ$10))))),IF(J20=$AE$12,IF(K20=$AF$8,$AF$12,IF(K20=$AG$8,$AG$12,IF(K20=$AH$8,$AH$12,IF(K20=$AI$8,$AI$12,IF(K20=$AJ$8,$AJ$12))))),IF(J20=#REF!,IF(K20=$AF$8,#REF!,IF(K20=$AG$8,#REF!,IF(K20=$AH$8,#REF!,IF(K20=$AI$8,#REF!,IF(K20=$AJ$8,#REF!))))),IF(J20=#REF!,IF(K20=$AF$8,#REF!,IF(K20=$AG$8,#REF!,IF(K20=$AH$8,#REF!,IF(K20=$AI$8,#REF!,IF(K20=$AJ$8,#REF!))))),"")))))</f>
        <v>#REF!</v>
      </c>
      <c r="M20" s="83" t="e">
        <f t="shared" si="0"/>
        <v>#REF!</v>
      </c>
      <c r="N20" s="83" t="e">
        <f t="shared" si="1"/>
        <v>#REF!</v>
      </c>
      <c r="O20" s="205"/>
      <c r="P20" s="83" t="e">
        <f t="shared" si="2"/>
        <v>#REF!</v>
      </c>
      <c r="Q20" s="205"/>
      <c r="R20" s="205"/>
      <c r="S20" s="206"/>
      <c r="T20" s="206"/>
      <c r="U20" s="205"/>
      <c r="V20" s="205"/>
      <c r="W20" s="205"/>
      <c r="X20" s="205"/>
      <c r="Y20" s="205"/>
      <c r="Z20" s="205"/>
      <c r="AA20" s="85"/>
      <c r="AB20" s="85"/>
      <c r="AC20" s="106"/>
      <c r="AD20" s="106"/>
      <c r="AE20" s="107"/>
      <c r="AM20" s="104"/>
      <c r="AN20" s="104"/>
      <c r="AO20" s="81"/>
      <c r="AP20" s="102"/>
      <c r="AQ20" s="102"/>
      <c r="AR20" s="102"/>
      <c r="AS20" s="102"/>
      <c r="AT20" s="102"/>
      <c r="AU20" s="102"/>
      <c r="AV20" s="89"/>
      <c r="AW20" s="81"/>
      <c r="AX20" s="81"/>
    </row>
    <row r="21" spans="1:50" ht="93" hidden="1" customHeight="1" x14ac:dyDescent="0.2">
      <c r="A21" s="82" t="e">
        <f>'2 CONTEXTO E IDENTIFICACIÓN'!#REF!</f>
        <v>#REF!</v>
      </c>
      <c r="B21" s="83" t="e">
        <f>+'2 CONTEXTO E IDENTIFICACIÓN'!#REF!</f>
        <v>#REF!</v>
      </c>
      <c r="C21" s="119" t="str">
        <f>+'3 PROBABIL E IMPACTO INHERENTE'!E22</f>
        <v/>
      </c>
      <c r="D21" s="119" t="str">
        <f>+'3 PROBABIL E IMPACTO INHERENTE'!M22</f>
        <v/>
      </c>
      <c r="E21" s="114" t="str">
        <f>+'4 MAPA CALOR INHERENTE'!C22</f>
        <v/>
      </c>
      <c r="F21" s="114" t="str">
        <f>+'4 MAPA CALOR INHERENTE'!D22</f>
        <v/>
      </c>
      <c r="G21" s="83" t="str">
        <f>+'4 MAPA CALOR INHERENTE'!E22</f>
        <v/>
      </c>
      <c r="H21" s="113">
        <f>+'5 VALORACIÓN DEL CONTROL'!T92</f>
        <v>0.36</v>
      </c>
      <c r="I21" s="84" t="str">
        <f>+'5 VALORACIÓN DEL CONTROL'!U92</f>
        <v/>
      </c>
      <c r="J21" s="114" t="e">
        <f>+IF(H21=0,"",IF(H21&lt;=#REF!,#REF!,IF(H21&lt;=#REF!,#REF!,IF(H21&lt;=$AD$12,$AE$12,IF(H21&lt;=$AD$10,$AE$10,IF(H21&lt;=$AD$9,$AE$9,""))))))</f>
        <v>#REF!</v>
      </c>
      <c r="K21" s="114" t="str">
        <f t="shared" si="4"/>
        <v/>
      </c>
      <c r="L21" s="83" t="e">
        <f>+IF(J21=$AE$9,IF(K21=$AF$8,$AF$9,IF(K21=$AG$8,$AG$9,IF(K21=$AH$8,$AH$9,IF(K21=$AI$8,$AI$9,IF(K21=$AJ$8,$AJ$9))))),IF(J21=$AE$10,IF(K21=$AF$8,$AF$10,IF(K21=$AG$8,$AG$10,IF(K21=$AH$8,$AH$10,IF(K21=$AI$8,$AI$10,IF(K21=$AJ$8,$AJ$10))))),IF(J21=$AE$12,IF(K21=$AF$8,$AF$12,IF(K21=$AG$8,$AG$12,IF(K21=$AH$8,$AH$12,IF(K21=$AI$8,$AI$12,IF(K21=$AJ$8,$AJ$12))))),IF(J21=#REF!,IF(K21=$AF$8,#REF!,IF(K21=$AG$8,#REF!,IF(K21=$AH$8,#REF!,IF(K21=$AI$8,#REF!,IF(K21=$AJ$8,#REF!))))),IF(J21=#REF!,IF(K21=$AF$8,#REF!,IF(K21=$AG$8,#REF!,IF(K21=$AH$8,#REF!,IF(K21=$AI$8,#REF!,IF(K21=$AJ$8,#REF!))))),"")))))</f>
        <v>#REF!</v>
      </c>
      <c r="M21" s="83" t="e">
        <f t="shared" si="0"/>
        <v>#REF!</v>
      </c>
      <c r="N21" s="83" t="e">
        <f t="shared" si="1"/>
        <v>#REF!</v>
      </c>
      <c r="O21" s="205"/>
      <c r="P21" s="83" t="e">
        <f t="shared" si="2"/>
        <v>#REF!</v>
      </c>
      <c r="Q21" s="205"/>
      <c r="R21" s="205"/>
      <c r="S21" s="206"/>
      <c r="T21" s="206"/>
      <c r="U21" s="205"/>
      <c r="V21" s="205"/>
      <c r="W21" s="205"/>
      <c r="X21" s="205"/>
      <c r="Y21" s="205"/>
      <c r="Z21" s="205"/>
      <c r="AA21" s="85"/>
      <c r="AB21" s="85"/>
      <c r="AC21" s="106"/>
      <c r="AD21" s="106"/>
      <c r="AO21" s="81"/>
      <c r="AP21" s="108"/>
      <c r="AQ21" s="108"/>
      <c r="AR21" s="108"/>
      <c r="AS21" s="108"/>
      <c r="AT21" s="108"/>
      <c r="AU21" s="108"/>
      <c r="AV21" s="89"/>
      <c r="AW21" s="81"/>
      <c r="AX21" s="81"/>
    </row>
    <row r="22" spans="1:50" ht="93" hidden="1" customHeight="1" x14ac:dyDescent="0.2">
      <c r="A22" s="82" t="e">
        <f>'2 CONTEXTO E IDENTIFICACIÓN'!#REF!</f>
        <v>#REF!</v>
      </c>
      <c r="B22" s="83" t="e">
        <f>+'2 CONTEXTO E IDENTIFICACIÓN'!#REF!</f>
        <v>#REF!</v>
      </c>
      <c r="C22" s="119" t="str">
        <f>+'3 PROBABIL E IMPACTO INHERENTE'!E23</f>
        <v/>
      </c>
      <c r="D22" s="119" t="str">
        <f>+'3 PROBABIL E IMPACTO INHERENTE'!M23</f>
        <v/>
      </c>
      <c r="E22" s="114" t="str">
        <f>+'4 MAPA CALOR INHERENTE'!C23</f>
        <v/>
      </c>
      <c r="F22" s="114" t="str">
        <f>+'4 MAPA CALOR INHERENTE'!D23</f>
        <v/>
      </c>
      <c r="G22" s="83" t="str">
        <f>+'4 MAPA CALOR INHERENTE'!E23</f>
        <v/>
      </c>
      <c r="H22" s="113">
        <f>+'5 VALORACIÓN DEL CONTROL'!T98</f>
        <v>0.36</v>
      </c>
      <c r="I22" s="84">
        <f>+'5 VALORACIÓN DEL CONTROL'!U98</f>
        <v>0</v>
      </c>
      <c r="J22" s="114" t="e">
        <f>+IF(H22=0,"",IF(H22&lt;=#REF!,#REF!,IF(H22&lt;=#REF!,#REF!,IF(H22&lt;=$AD$12,$AE$12,IF(H22&lt;=$AD$10,$AE$10,IF(H22&lt;=$AD$9,$AE$9,""))))))</f>
        <v>#REF!</v>
      </c>
      <c r="K22" s="114" t="str">
        <f t="shared" si="4"/>
        <v/>
      </c>
      <c r="L22" s="83" t="e">
        <f>+IF(J22=$AE$9,IF(K22=$AF$8,$AF$9,IF(K22=$AG$8,$AG$9,IF(K22=$AH$8,$AH$9,IF(K22=$AI$8,$AI$9,IF(K22=$AJ$8,$AJ$9))))),IF(J22=$AE$10,IF(K22=$AF$8,$AF$10,IF(K22=$AG$8,$AG$10,IF(K22=$AH$8,$AH$10,IF(K22=$AI$8,$AI$10,IF(K22=$AJ$8,$AJ$10))))),IF(J22=$AE$12,IF(K22=$AF$8,$AF$12,IF(K22=$AG$8,$AG$12,IF(K22=$AH$8,$AH$12,IF(K22=$AI$8,$AI$12,IF(K22=$AJ$8,$AJ$12))))),IF(J22=#REF!,IF(K22=$AF$8,#REF!,IF(K22=$AG$8,#REF!,IF(K22=$AH$8,#REF!,IF(K22=$AI$8,#REF!,IF(K22=$AJ$8,#REF!))))),IF(J22=#REF!,IF(K22=$AF$8,#REF!,IF(K22=$AG$8,#REF!,IF(K22=$AH$8,#REF!,IF(K22=$AI$8,#REF!,IF(K22=$AJ$8,#REF!))))),"")))))</f>
        <v>#REF!</v>
      </c>
      <c r="M22" s="83" t="e">
        <f t="shared" si="0"/>
        <v>#REF!</v>
      </c>
      <c r="N22" s="83" t="e">
        <f t="shared" si="1"/>
        <v>#REF!</v>
      </c>
      <c r="O22" s="205"/>
      <c r="P22" s="83" t="e">
        <f t="shared" si="2"/>
        <v>#REF!</v>
      </c>
      <c r="Q22" s="205"/>
      <c r="R22" s="205"/>
      <c r="S22" s="206"/>
      <c r="T22" s="206"/>
      <c r="U22" s="205"/>
      <c r="V22" s="205"/>
      <c r="W22" s="205"/>
      <c r="X22" s="205"/>
      <c r="Y22" s="205"/>
      <c r="Z22" s="205"/>
      <c r="AA22" s="85"/>
      <c r="AB22" s="85"/>
      <c r="AC22" s="106"/>
      <c r="AD22" s="106"/>
      <c r="AO22" s="81"/>
      <c r="AP22" s="102"/>
      <c r="AQ22" s="102"/>
      <c r="AR22" s="102"/>
      <c r="AS22" s="102"/>
      <c r="AT22" s="102"/>
      <c r="AU22" s="102"/>
      <c r="AV22" s="89"/>
      <c r="AW22" s="81"/>
      <c r="AX22" s="81"/>
    </row>
    <row r="23" spans="1:50" ht="93" hidden="1" customHeight="1" x14ac:dyDescent="0.2">
      <c r="A23" s="82" t="e">
        <f>'2 CONTEXTO E IDENTIFICACIÓN'!#REF!</f>
        <v>#REF!</v>
      </c>
      <c r="B23" s="83" t="e">
        <f>+'2 CONTEXTO E IDENTIFICACIÓN'!#REF!</f>
        <v>#REF!</v>
      </c>
      <c r="C23" s="119" t="str">
        <f>+'3 PROBABIL E IMPACTO INHERENTE'!E24</f>
        <v/>
      </c>
      <c r="D23" s="119" t="str">
        <f>+'3 PROBABIL E IMPACTO INHERENTE'!M24</f>
        <v/>
      </c>
      <c r="E23" s="114" t="str">
        <f>+'4 MAPA CALOR INHERENTE'!C24</f>
        <v/>
      </c>
      <c r="F23" s="114" t="str">
        <f>+'4 MAPA CALOR INHERENTE'!D24</f>
        <v/>
      </c>
      <c r="G23" s="83" t="str">
        <f>+'4 MAPA CALOR INHERENTE'!E24</f>
        <v/>
      </c>
      <c r="H23" s="113">
        <f>+'5 VALORACIÓN DEL CONTROL'!T104</f>
        <v>0.36</v>
      </c>
      <c r="I23" s="84">
        <f>+'5 VALORACIÓN DEL CONTROL'!U104</f>
        <v>0</v>
      </c>
      <c r="J23" s="114" t="e">
        <f>+IF(H23=0,"",IF(H23&lt;=#REF!,#REF!,IF(H23&lt;=#REF!,#REF!,IF(H23&lt;=$AD$12,$AE$12,IF(H23&lt;=$AD$10,$AE$10,IF(H23&lt;=$AD$9,$AE$9,""))))))</f>
        <v>#REF!</v>
      </c>
      <c r="K23" s="114" t="str">
        <f t="shared" si="4"/>
        <v/>
      </c>
      <c r="L23" s="83" t="e">
        <f>+IF(J23=$AE$9,IF(K23=$AF$8,$AF$9,IF(K23=$AG$8,$AG$9,IF(K23=$AH$8,$AH$9,IF(K23=$AI$8,$AI$9,IF(K23=$AJ$8,$AJ$9))))),IF(J23=$AE$10,IF(K23=$AF$8,$AF$10,IF(K23=$AG$8,$AG$10,IF(K23=$AH$8,$AH$10,IF(K23=$AI$8,$AI$10,IF(K23=$AJ$8,$AJ$10))))),IF(J23=$AE$12,IF(K23=$AF$8,$AF$12,IF(K23=$AG$8,$AG$12,IF(K23=$AH$8,$AH$12,IF(K23=$AI$8,$AI$12,IF(K23=$AJ$8,$AJ$12))))),IF(J23=#REF!,IF(K23=$AF$8,#REF!,IF(K23=$AG$8,#REF!,IF(K23=$AH$8,#REF!,IF(K23=$AI$8,#REF!,IF(K23=$AJ$8,#REF!))))),IF(J23=#REF!,IF(K23=$AF$8,#REF!,IF(K23=$AG$8,#REF!,IF(K23=$AH$8,#REF!,IF(K23=$AI$8,#REF!,IF(K23=$AJ$8,#REF!))))),"")))))</f>
        <v>#REF!</v>
      </c>
      <c r="M23" s="83" t="e">
        <f t="shared" si="0"/>
        <v>#REF!</v>
      </c>
      <c r="N23" s="83" t="e">
        <f t="shared" si="1"/>
        <v>#REF!</v>
      </c>
      <c r="O23" s="205"/>
      <c r="P23" s="83" t="e">
        <f t="shared" si="2"/>
        <v>#REF!</v>
      </c>
      <c r="Q23" s="205"/>
      <c r="R23" s="205"/>
      <c r="S23" s="206"/>
      <c r="T23" s="206"/>
      <c r="U23" s="205"/>
      <c r="V23" s="205"/>
      <c r="W23" s="205"/>
      <c r="X23" s="205"/>
      <c r="Y23" s="205"/>
      <c r="Z23" s="205"/>
      <c r="AA23" s="85"/>
      <c r="AB23" s="85"/>
      <c r="AO23" s="81"/>
      <c r="AP23" s="102"/>
      <c r="AQ23" s="102"/>
      <c r="AR23" s="102"/>
      <c r="AS23" s="102"/>
      <c r="AT23" s="102"/>
      <c r="AU23" s="102"/>
      <c r="AV23" s="89"/>
      <c r="AW23" s="81"/>
      <c r="AX23" s="81"/>
    </row>
    <row r="24" spans="1:50" ht="93" hidden="1" customHeight="1" x14ac:dyDescent="0.25">
      <c r="A24" s="82" t="e">
        <f>'2 CONTEXTO E IDENTIFICACIÓN'!#REF!</f>
        <v>#REF!</v>
      </c>
      <c r="B24" s="83" t="e">
        <f>+'2 CONTEXTO E IDENTIFICACIÓN'!#REF!</f>
        <v>#REF!</v>
      </c>
      <c r="C24" s="119" t="str">
        <f>+'3 PROBABIL E IMPACTO INHERENTE'!E25</f>
        <v/>
      </c>
      <c r="D24" s="119" t="str">
        <f>+'3 PROBABIL E IMPACTO INHERENTE'!M25</f>
        <v/>
      </c>
      <c r="E24" s="114" t="str">
        <f>+'4 MAPA CALOR INHERENTE'!C25</f>
        <v/>
      </c>
      <c r="F24" s="114" t="str">
        <f>+'4 MAPA CALOR INHERENTE'!D25</f>
        <v/>
      </c>
      <c r="G24" s="83" t="str">
        <f>+'4 MAPA CALOR INHERENTE'!E25</f>
        <v/>
      </c>
      <c r="H24" s="113">
        <f>+'5 VALORACIÓN DEL CONTROL'!T110</f>
        <v>0.36</v>
      </c>
      <c r="I24" s="84">
        <f>+'5 VALORACIÓN DEL CONTROL'!U110</f>
        <v>0</v>
      </c>
      <c r="J24" s="114" t="e">
        <f>+IF(H24=0,"",IF(H24&lt;=#REF!,#REF!,IF(H24&lt;=#REF!,#REF!,IF(H24&lt;=$AD$12,$AE$12,IF(H24&lt;=$AD$10,$AE$10,IF(H24&lt;=$AD$9,$AE$9,""))))))</f>
        <v>#REF!</v>
      </c>
      <c r="K24" s="114" t="str">
        <f t="shared" si="4"/>
        <v/>
      </c>
      <c r="L24" s="83" t="e">
        <f>+IF(J24=$AE$9,IF(K24=$AF$8,$AF$9,IF(K24=$AG$8,$AG$9,IF(K24=$AH$8,$AH$9,IF(K24=$AI$8,$AI$9,IF(K24=$AJ$8,$AJ$9))))),IF(J24=$AE$10,IF(K24=$AF$8,$AF$10,IF(K24=$AG$8,$AG$10,IF(K24=$AH$8,$AH$10,IF(K24=$AI$8,$AI$10,IF(K24=$AJ$8,$AJ$10))))),IF(J24=$AE$12,IF(K24=$AF$8,$AF$12,IF(K24=$AG$8,$AG$12,IF(K24=$AH$8,$AH$12,IF(K24=$AI$8,$AI$12,IF(K24=$AJ$8,$AJ$12))))),IF(J24=#REF!,IF(K24=$AF$8,#REF!,IF(K24=$AG$8,#REF!,IF(K24=$AH$8,#REF!,IF(K24=$AI$8,#REF!,IF(K24=$AJ$8,#REF!))))),IF(J24=#REF!,IF(K24=$AF$8,#REF!,IF(K24=$AG$8,#REF!,IF(K24=$AH$8,#REF!,IF(K24=$AI$8,#REF!,IF(K24=$AJ$8,#REF!))))),"")))))</f>
        <v>#REF!</v>
      </c>
      <c r="M24" s="83" t="e">
        <f t="shared" si="0"/>
        <v>#REF!</v>
      </c>
      <c r="N24" s="83" t="e">
        <f t="shared" si="1"/>
        <v>#REF!</v>
      </c>
      <c r="O24" s="205"/>
      <c r="P24" s="83" t="e">
        <f t="shared" si="2"/>
        <v>#REF!</v>
      </c>
      <c r="Q24" s="205"/>
      <c r="R24" s="205"/>
      <c r="S24" s="206"/>
      <c r="T24" s="206"/>
      <c r="U24" s="205"/>
      <c r="V24" s="205"/>
      <c r="W24" s="205"/>
      <c r="X24" s="205"/>
      <c r="Y24" s="205"/>
      <c r="Z24" s="205"/>
      <c r="AA24" s="85"/>
      <c r="AB24" s="85"/>
    </row>
    <row r="25" spans="1:50" ht="93" hidden="1" customHeight="1" x14ac:dyDescent="0.25">
      <c r="A25" s="82" t="e">
        <f>'2 CONTEXTO E IDENTIFICACIÓN'!#REF!</f>
        <v>#REF!</v>
      </c>
      <c r="B25" s="83" t="e">
        <f>+'2 CONTEXTO E IDENTIFICACIÓN'!#REF!</f>
        <v>#REF!</v>
      </c>
      <c r="C25" s="119" t="str">
        <f>+'3 PROBABIL E IMPACTO INHERENTE'!E26</f>
        <v/>
      </c>
      <c r="D25" s="119" t="str">
        <f>+'3 PROBABIL E IMPACTO INHERENTE'!M26</f>
        <v/>
      </c>
      <c r="E25" s="114" t="str">
        <f>+'4 MAPA CALOR INHERENTE'!C26</f>
        <v/>
      </c>
      <c r="F25" s="114" t="str">
        <f>+'4 MAPA CALOR INHERENTE'!D26</f>
        <v/>
      </c>
      <c r="G25" s="83" t="str">
        <f>+'4 MAPA CALOR INHERENTE'!E26</f>
        <v/>
      </c>
      <c r="H25" s="113">
        <f>+'5 VALORACIÓN DEL CONTROL'!T116</f>
        <v>0.36</v>
      </c>
      <c r="I25" s="84">
        <f>+'5 VALORACIÓN DEL CONTROL'!U116</f>
        <v>0</v>
      </c>
      <c r="J25" s="114" t="e">
        <f>+IF(H25=0,"",IF(H25&lt;=#REF!,#REF!,IF(H25&lt;=#REF!,#REF!,IF(H25&lt;=$AD$12,$AE$12,IF(H25&lt;=$AD$10,$AE$10,IF(H25&lt;=$AD$9,$AE$9,""))))))</f>
        <v>#REF!</v>
      </c>
      <c r="K25" s="114" t="str">
        <f t="shared" si="4"/>
        <v/>
      </c>
      <c r="L25" s="83" t="e">
        <f>+IF(J25=$AE$9,IF(K25=$AF$8,$AF$9,IF(K25=$AG$8,$AG$9,IF(K25=$AH$8,$AH$9,IF(K25=$AI$8,$AI$9,IF(K25=$AJ$8,$AJ$9))))),IF(J25=$AE$10,IF(K25=$AF$8,$AF$10,IF(K25=$AG$8,$AG$10,IF(K25=$AH$8,$AH$10,IF(K25=$AI$8,$AI$10,IF(K25=$AJ$8,$AJ$10))))),IF(J25=$AE$12,IF(K25=$AF$8,$AF$12,IF(K25=$AG$8,$AG$12,IF(K25=$AH$8,$AH$12,IF(K25=$AI$8,$AI$12,IF(K25=$AJ$8,$AJ$12))))),IF(J25=#REF!,IF(K25=$AF$8,#REF!,IF(K25=$AG$8,#REF!,IF(K25=$AH$8,#REF!,IF(K25=$AI$8,#REF!,IF(K25=$AJ$8,#REF!))))),IF(J25=#REF!,IF(K25=$AF$8,#REF!,IF(K25=$AG$8,#REF!,IF(K25=$AH$8,#REF!,IF(K25=$AI$8,#REF!,IF(K25=$AJ$8,#REF!))))),"")))))</f>
        <v>#REF!</v>
      </c>
      <c r="M25" s="83" t="e">
        <f t="shared" si="0"/>
        <v>#REF!</v>
      </c>
      <c r="N25" s="83" t="e">
        <f t="shared" si="1"/>
        <v>#REF!</v>
      </c>
      <c r="O25" s="205"/>
      <c r="P25" s="83" t="e">
        <f t="shared" si="2"/>
        <v>#REF!</v>
      </c>
      <c r="Q25" s="205"/>
      <c r="R25" s="205"/>
      <c r="S25" s="206"/>
      <c r="T25" s="206"/>
      <c r="U25" s="205"/>
      <c r="V25" s="205"/>
      <c r="W25" s="205"/>
      <c r="X25" s="205"/>
      <c r="Y25" s="205"/>
      <c r="Z25" s="205"/>
      <c r="AA25" s="85"/>
      <c r="AB25" s="85"/>
    </row>
    <row r="26" spans="1:50" ht="93" hidden="1" customHeight="1" x14ac:dyDescent="0.25">
      <c r="A26" s="82" t="e">
        <f>'2 CONTEXTO E IDENTIFICACIÓN'!#REF!</f>
        <v>#REF!</v>
      </c>
      <c r="B26" s="83" t="e">
        <f>+'2 CONTEXTO E IDENTIFICACIÓN'!#REF!</f>
        <v>#REF!</v>
      </c>
      <c r="C26" s="119" t="str">
        <f>+'3 PROBABIL E IMPACTO INHERENTE'!E27</f>
        <v/>
      </c>
      <c r="D26" s="119" t="str">
        <f>+'3 PROBABIL E IMPACTO INHERENTE'!M27</f>
        <v/>
      </c>
      <c r="E26" s="114" t="str">
        <f>+'4 MAPA CALOR INHERENTE'!C27</f>
        <v/>
      </c>
      <c r="F26" s="114" t="str">
        <f>+'4 MAPA CALOR INHERENTE'!D27</f>
        <v/>
      </c>
      <c r="G26" s="83" t="str">
        <f>+'4 MAPA CALOR INHERENTE'!E27</f>
        <v/>
      </c>
      <c r="H26" s="113">
        <f>+'5 VALORACIÓN DEL CONTROL'!T122</f>
        <v>0.6</v>
      </c>
      <c r="I26" s="84">
        <f>+'5 VALORACIÓN DEL CONTROL'!U122</f>
        <v>0</v>
      </c>
      <c r="J26" s="114" t="e">
        <f>+IF(H26=0,"",IF(H26&lt;=#REF!,#REF!,IF(H26&lt;=#REF!,#REF!,IF(H26&lt;=$AD$12,$AE$12,IF(H26&lt;=$AD$10,$AE$10,IF(H26&lt;=$AD$9,$AE$9,""))))))</f>
        <v>#REF!</v>
      </c>
      <c r="K26" s="114" t="str">
        <f t="shared" si="4"/>
        <v/>
      </c>
      <c r="L26" s="83" t="e">
        <f>+IF(J26=$AE$9,IF(K26=$AF$8,$AF$9,IF(K26=$AG$8,$AG$9,IF(K26=$AH$8,$AH$9,IF(K26=$AI$8,$AI$9,IF(K26=$AJ$8,$AJ$9))))),IF(J26=$AE$10,IF(K26=$AF$8,$AF$10,IF(K26=$AG$8,$AG$10,IF(K26=$AH$8,$AH$10,IF(K26=$AI$8,$AI$10,IF(K26=$AJ$8,$AJ$10))))),IF(J26=$AE$12,IF(K26=$AF$8,$AF$12,IF(K26=$AG$8,$AG$12,IF(K26=$AH$8,$AH$12,IF(K26=$AI$8,$AI$12,IF(K26=$AJ$8,$AJ$12))))),IF(J26=#REF!,IF(K26=$AF$8,#REF!,IF(K26=$AG$8,#REF!,IF(K26=$AH$8,#REF!,IF(K26=$AI$8,#REF!,IF(K26=$AJ$8,#REF!))))),IF(J26=#REF!,IF(K26=$AF$8,#REF!,IF(K26=$AG$8,#REF!,IF(K26=$AH$8,#REF!,IF(K26=$AI$8,#REF!,IF(K26=$AJ$8,#REF!))))),"")))))</f>
        <v>#REF!</v>
      </c>
      <c r="M26" s="83" t="e">
        <f t="shared" si="0"/>
        <v>#REF!</v>
      </c>
      <c r="N26" s="83" t="e">
        <f t="shared" si="1"/>
        <v>#REF!</v>
      </c>
      <c r="O26" s="205"/>
      <c r="P26" s="83" t="e">
        <f t="shared" si="2"/>
        <v>#REF!</v>
      </c>
      <c r="Q26" s="205"/>
      <c r="R26" s="205"/>
      <c r="S26" s="206"/>
      <c r="T26" s="206"/>
      <c r="U26" s="205"/>
      <c r="V26" s="205"/>
      <c r="W26" s="205"/>
      <c r="X26" s="205"/>
      <c r="Y26" s="205"/>
      <c r="Z26" s="205"/>
      <c r="AA26" s="85"/>
      <c r="AB26" s="85"/>
    </row>
    <row r="27" spans="1:50" ht="93" hidden="1" customHeight="1" x14ac:dyDescent="0.25">
      <c r="A27" s="82" t="e">
        <f>'2 CONTEXTO E IDENTIFICACIÓN'!#REF!</f>
        <v>#REF!</v>
      </c>
      <c r="B27" s="83" t="e">
        <f>+'2 CONTEXTO E IDENTIFICACIÓN'!#REF!</f>
        <v>#REF!</v>
      </c>
      <c r="C27" s="119" t="str">
        <f>+'3 PROBABIL E IMPACTO INHERENTE'!E28</f>
        <v/>
      </c>
      <c r="D27" s="119" t="str">
        <f>+'3 PROBABIL E IMPACTO INHERENTE'!M28</f>
        <v/>
      </c>
      <c r="E27" s="114" t="str">
        <f>+'4 MAPA CALOR INHERENTE'!C28</f>
        <v/>
      </c>
      <c r="F27" s="114" t="str">
        <f>+'4 MAPA CALOR INHERENTE'!D28</f>
        <v/>
      </c>
      <c r="G27" s="83" t="str">
        <f>+'4 MAPA CALOR INHERENTE'!E28</f>
        <v/>
      </c>
      <c r="H27" s="113">
        <f>+'5 VALORACIÓN DEL CONTROL'!T128</f>
        <v>0.36</v>
      </c>
      <c r="I27" s="84">
        <f>+'5 VALORACIÓN DEL CONTROL'!U128</f>
        <v>0</v>
      </c>
      <c r="J27" s="114" t="e">
        <f>+IF(H27=0,"",IF(H27&lt;=#REF!,#REF!,IF(H27&lt;=#REF!,#REF!,IF(H27&lt;=$AD$12,$AE$12,IF(H27&lt;=$AD$10,$AE$10,IF(H27&lt;=$AD$9,$AE$9,""))))))</f>
        <v>#REF!</v>
      </c>
      <c r="K27" s="114" t="str">
        <f t="shared" si="4"/>
        <v/>
      </c>
      <c r="L27" s="83" t="e">
        <f>+IF(J27=$AE$9,IF(K27=$AF$8,$AF$9,IF(K27=$AG$8,$AG$9,IF(K27=$AH$8,$AH$9,IF(K27=$AI$8,$AI$9,IF(K27=$AJ$8,$AJ$9))))),IF(J27=$AE$10,IF(K27=$AF$8,$AF$10,IF(K27=$AG$8,$AG$10,IF(K27=$AH$8,$AH$10,IF(K27=$AI$8,$AI$10,IF(K27=$AJ$8,$AJ$10))))),IF(J27=$AE$12,IF(K27=$AF$8,$AF$12,IF(K27=$AG$8,$AG$12,IF(K27=$AH$8,$AH$12,IF(K27=$AI$8,$AI$12,IF(K27=$AJ$8,$AJ$12))))),IF(J27=#REF!,IF(K27=$AF$8,#REF!,IF(K27=$AG$8,#REF!,IF(K27=$AH$8,#REF!,IF(K27=$AI$8,#REF!,IF(K27=$AJ$8,#REF!))))),IF(J27=#REF!,IF(K27=$AF$8,#REF!,IF(K27=$AG$8,#REF!,IF(K27=$AH$8,#REF!,IF(K27=$AI$8,#REF!,IF(K27=$AJ$8,#REF!))))),"")))))</f>
        <v>#REF!</v>
      </c>
      <c r="M27" s="83" t="e">
        <f t="shared" si="0"/>
        <v>#REF!</v>
      </c>
      <c r="N27" s="83" t="e">
        <f t="shared" si="1"/>
        <v>#REF!</v>
      </c>
      <c r="O27" s="205"/>
      <c r="P27" s="83" t="e">
        <f t="shared" si="2"/>
        <v>#REF!</v>
      </c>
      <c r="Q27" s="205"/>
      <c r="R27" s="205"/>
      <c r="S27" s="206"/>
      <c r="T27" s="206"/>
      <c r="U27" s="205"/>
      <c r="V27" s="205"/>
      <c r="W27" s="205"/>
      <c r="X27" s="205"/>
      <c r="Y27" s="205"/>
      <c r="Z27" s="205"/>
      <c r="AA27" s="85"/>
      <c r="AB27" s="85"/>
    </row>
    <row r="28" spans="1:50" ht="14.45" customHeight="1" x14ac:dyDescent="0.25">
      <c r="B28" s="65"/>
      <c r="C28" s="65"/>
      <c r="D28" s="65"/>
      <c r="G28" s="65"/>
      <c r="I28" s="65"/>
      <c r="L28" s="65"/>
      <c r="M28" s="65"/>
      <c r="N28" s="65"/>
      <c r="O28" s="65"/>
      <c r="P28" s="65"/>
      <c r="Q28" s="65"/>
      <c r="R28" s="65"/>
      <c r="S28" s="120"/>
      <c r="T28" s="120"/>
      <c r="U28" s="65"/>
      <c r="V28" s="65"/>
      <c r="W28" s="65"/>
      <c r="X28" s="65"/>
      <c r="Y28" s="65"/>
      <c r="Z28" s="65"/>
      <c r="AA28" s="65"/>
      <c r="AB28" s="65"/>
      <c r="AM28" s="70"/>
      <c r="AN28" s="70"/>
      <c r="AO28" s="70"/>
      <c r="AP28" s="70"/>
      <c r="AQ28" s="70"/>
      <c r="AR28" s="65"/>
      <c r="AS28" s="65"/>
      <c r="AT28" s="65"/>
      <c r="AU28" s="65"/>
      <c r="AV28" s="65"/>
    </row>
    <row r="29" spans="1:50" ht="39" customHeight="1" x14ac:dyDescent="0.25">
      <c r="B29" s="65"/>
      <c r="C29" s="65"/>
      <c r="D29" s="65"/>
      <c r="G29" s="65"/>
      <c r="I29" s="65"/>
      <c r="L29" s="65"/>
      <c r="M29" s="65"/>
      <c r="N29" s="65"/>
      <c r="O29" s="65"/>
      <c r="P29" s="65"/>
      <c r="Q29" s="65"/>
      <c r="R29" s="65"/>
      <c r="S29" s="120"/>
      <c r="T29" s="120"/>
      <c r="U29" s="65"/>
      <c r="V29" s="65"/>
      <c r="W29" s="65"/>
      <c r="X29" s="65"/>
      <c r="Y29" s="65"/>
      <c r="Z29" s="65"/>
      <c r="AA29" s="65"/>
      <c r="AB29" s="65"/>
      <c r="AM29" s="70"/>
      <c r="AN29" s="70"/>
      <c r="AO29" s="70"/>
      <c r="AP29" s="70"/>
      <c r="AQ29" s="70"/>
      <c r="AR29" s="65"/>
      <c r="AS29" s="65"/>
      <c r="AT29" s="65"/>
      <c r="AU29" s="65"/>
      <c r="AV29" s="65"/>
    </row>
    <row r="30" spans="1:50" ht="19.5" customHeight="1" x14ac:dyDescent="0.25">
      <c r="B30" s="65"/>
      <c r="C30" s="65"/>
      <c r="D30" s="65"/>
      <c r="G30" s="65"/>
      <c r="I30" s="65"/>
      <c r="L30" s="65"/>
      <c r="M30" s="65"/>
      <c r="N30" s="65"/>
      <c r="O30" s="65"/>
      <c r="P30" s="65"/>
      <c r="Q30" s="65"/>
      <c r="R30" s="65"/>
      <c r="S30" s="120"/>
      <c r="T30" s="120"/>
      <c r="U30" s="65"/>
      <c r="V30" s="65"/>
      <c r="W30" s="65"/>
      <c r="X30" s="65"/>
      <c r="Y30" s="65"/>
      <c r="Z30" s="65"/>
      <c r="AA30" s="65"/>
      <c r="AB30" s="65"/>
      <c r="AM30" s="70"/>
      <c r="AN30" s="70"/>
      <c r="AO30" s="70"/>
      <c r="AP30" s="70"/>
      <c r="AQ30" s="70"/>
      <c r="AR30" s="65"/>
      <c r="AS30" s="65"/>
      <c r="AT30" s="65"/>
      <c r="AU30" s="65"/>
      <c r="AV30" s="65"/>
    </row>
    <row r="31" spans="1:50" ht="19.5" customHeight="1" x14ac:dyDescent="0.25">
      <c r="B31" s="65"/>
      <c r="C31" s="65"/>
      <c r="D31" s="65"/>
      <c r="G31" s="65"/>
      <c r="I31" s="65"/>
      <c r="L31" s="65"/>
      <c r="M31" s="65"/>
      <c r="N31" s="65"/>
      <c r="O31" s="65"/>
      <c r="P31" s="65"/>
      <c r="Q31" s="65"/>
      <c r="R31" s="65"/>
      <c r="S31" s="120"/>
      <c r="T31" s="120"/>
      <c r="U31" s="65"/>
      <c r="V31" s="65"/>
      <c r="W31" s="65"/>
      <c r="X31" s="65"/>
      <c r="Y31" s="65"/>
      <c r="Z31" s="65"/>
      <c r="AA31" s="65"/>
      <c r="AB31" s="65"/>
      <c r="AM31" s="70"/>
      <c r="AN31" s="70"/>
      <c r="AO31" s="70"/>
      <c r="AP31" s="70"/>
      <c r="AQ31" s="70"/>
      <c r="AR31" s="65"/>
      <c r="AS31" s="65"/>
      <c r="AT31" s="65"/>
      <c r="AU31" s="65"/>
      <c r="AV31" s="65"/>
    </row>
    <row r="32" spans="1:50" ht="19.5" customHeight="1" x14ac:dyDescent="0.25">
      <c r="B32" s="65"/>
      <c r="C32" s="65"/>
      <c r="D32" s="65"/>
      <c r="G32" s="65"/>
      <c r="I32" s="65"/>
      <c r="L32" s="65"/>
      <c r="M32" s="65"/>
      <c r="N32" s="65"/>
      <c r="O32" s="65"/>
      <c r="P32" s="65"/>
      <c r="Q32" s="65"/>
      <c r="R32" s="65"/>
      <c r="S32" s="120"/>
      <c r="T32" s="120"/>
      <c r="U32" s="65"/>
      <c r="V32" s="65"/>
      <c r="W32" s="65"/>
      <c r="X32" s="65"/>
      <c r="Y32" s="65"/>
      <c r="Z32" s="65"/>
      <c r="AA32" s="65"/>
      <c r="AB32" s="65"/>
      <c r="AM32" s="70"/>
      <c r="AN32" s="70"/>
      <c r="AO32" s="70"/>
      <c r="AP32" s="70"/>
      <c r="AQ32" s="70"/>
      <c r="AR32" s="65"/>
      <c r="AS32" s="65"/>
      <c r="AT32" s="65"/>
      <c r="AU32" s="65"/>
      <c r="AV32" s="65"/>
    </row>
    <row r="33" spans="5:43" s="65" customFormat="1" ht="19.5" customHeight="1" x14ac:dyDescent="0.25">
      <c r="E33" s="115"/>
      <c r="F33" s="115"/>
      <c r="H33" s="70"/>
      <c r="J33" s="115"/>
      <c r="K33" s="115"/>
      <c r="S33" s="120"/>
      <c r="T33" s="120"/>
      <c r="AM33" s="70"/>
      <c r="AN33" s="70"/>
      <c r="AO33" s="70"/>
      <c r="AP33" s="70"/>
      <c r="AQ33" s="70"/>
    </row>
    <row r="34" spans="5:43" s="65" customFormat="1" ht="19.5" customHeight="1" x14ac:dyDescent="0.25">
      <c r="E34" s="115"/>
      <c r="F34" s="115"/>
      <c r="H34" s="70"/>
      <c r="J34" s="115"/>
      <c r="K34" s="115"/>
      <c r="S34" s="120"/>
      <c r="T34" s="120"/>
      <c r="AM34" s="70"/>
      <c r="AN34" s="70"/>
      <c r="AO34" s="70"/>
      <c r="AP34" s="70"/>
      <c r="AQ34" s="70"/>
    </row>
  </sheetData>
  <sheetProtection formatCells="0" formatColumns="0" formatRows="0" sort="0" autoFilter="0" pivotTables="0"/>
  <dataConsolidate/>
  <mergeCells count="10">
    <mergeCell ref="AC9:AC12"/>
    <mergeCell ref="E7:G7"/>
    <mergeCell ref="AF5:AJ5"/>
    <mergeCell ref="A1:A2"/>
    <mergeCell ref="B1:B2"/>
    <mergeCell ref="J7:L7"/>
    <mergeCell ref="U7:W7"/>
    <mergeCell ref="Q7:T7"/>
    <mergeCell ref="B4:D4"/>
    <mergeCell ref="B5:D5"/>
  </mergeCells>
  <conditionalFormatting sqref="F9:F27 K9:K27">
    <cfRule type="cellIs" dxfId="17" priority="15" operator="equal">
      <formula>$AF$8</formula>
    </cfRule>
    <cfRule type="cellIs" dxfId="16" priority="16" operator="equal">
      <formula>$AG$8</formula>
    </cfRule>
    <cfRule type="cellIs" dxfId="15" priority="17" operator="equal">
      <formula>$AH$8</formula>
    </cfRule>
    <cfRule type="cellIs" dxfId="14" priority="18" operator="equal">
      <formula>$AI$8</formula>
    </cfRule>
    <cfRule type="cellIs" dxfId="13" priority="19" operator="equal">
      <formula>$AJ$8</formula>
    </cfRule>
  </conditionalFormatting>
  <conditionalFormatting sqref="E9:E27 I9:J27">
    <cfRule type="cellIs" dxfId="12" priority="332" operator="equal">
      <formula>#REF!</formula>
    </cfRule>
    <cfRule type="cellIs" dxfId="11" priority="333" operator="equal">
      <formula>#REF!</formula>
    </cfRule>
    <cfRule type="cellIs" dxfId="10" priority="334" operator="equal">
      <formula>$AE$12</formula>
    </cfRule>
    <cfRule type="cellIs" dxfId="9" priority="335" operator="equal">
      <formula>$AE$10</formula>
    </cfRule>
    <cfRule type="cellIs" dxfId="8" priority="336" operator="equal">
      <formula>$AE$9</formula>
    </cfRule>
  </conditionalFormatting>
  <conditionalFormatting sqref="G9:G27 L9:L27">
    <cfRule type="cellIs" dxfId="7" priority="352" operator="equal">
      <formula>$AF$15</formula>
    </cfRule>
    <cfRule type="cellIs" dxfId="6" priority="353" operator="equal">
      <formula>$AF$16</formula>
    </cfRule>
    <cfRule type="cellIs" dxfId="5" priority="354" operator="equal">
      <formula>$AF$17</formula>
    </cfRule>
    <cfRule type="cellIs" dxfId="4" priority="355" operator="equal">
      <formula>$AF$18</formula>
    </cfRule>
  </conditionalFormatting>
  <dataValidations count="4">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JP9:JV15" xr:uid="{00000000-0002-0000-0800-000000000000}">
      <formula1>#REF!</formula1>
    </dataValidation>
    <dataValidation type="list" allowBlank="1" showInputMessage="1" showErrorMessage="1" sqref="O9:O27"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ignoredErrors>
    <ignoredError sqref="Q9:Q1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topLeftCell="A4" zoomScale="85" zoomScaleNormal="85" workbookViewId="0">
      <selection activeCell="L10" sqref="L10"/>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61"/>
      <c r="B1" s="566" t="str">
        <f>+'2 CONTEXTO E IDENTIFICACIÓN'!A1</f>
        <v>MAPA DE RIESGOS</v>
      </c>
      <c r="C1" s="472"/>
      <c r="D1" s="473"/>
      <c r="F1" s="213" t="str">
        <f>+'2 CONTEXTO E IDENTIFICACIÓN'!$I$4</f>
        <v>Elaboración o Actualización:</v>
      </c>
      <c r="G1" s="227">
        <f>'2 CONTEXTO E IDENTIFICACIÓN'!J4</f>
        <v>46003</v>
      </c>
      <c r="H1" s="13"/>
      <c r="I1" s="13"/>
    </row>
    <row r="2" spans="1:11" s="3" customFormat="1" ht="37.5" customHeight="1" x14ac:dyDescent="0.2">
      <c r="A2" s="461"/>
      <c r="B2" s="567"/>
      <c r="C2" s="39" t="str">
        <f>+'2 CONTEXTO E IDENTIFICACIÓN'!A2</f>
        <v>VERSIÓN:</v>
      </c>
      <c r="D2" s="39">
        <f>'2 CONTEXTO E IDENTIFICACIÓN'!B2</f>
        <v>0</v>
      </c>
      <c r="F2" s="216" t="str">
        <f>+'2 CONTEXTO E IDENTIFICACIÓN'!$E$5</f>
        <v xml:space="preserve">Vigencia: </v>
      </c>
      <c r="G2" s="214">
        <f>'2 CONTEXTO E IDENTIFICACIÓN'!G5</f>
        <v>46023</v>
      </c>
      <c r="H2" s="215" t="s">
        <v>100</v>
      </c>
      <c r="I2" s="212">
        <f>'2 CONTEXTO E IDENTIFICACIÓN'!J5</f>
        <v>46387</v>
      </c>
    </row>
    <row r="3" spans="1:11" s="3" customFormat="1" ht="8.25" customHeight="1" x14ac:dyDescent="0.2">
      <c r="A3" s="15"/>
      <c r="B3" s="15"/>
      <c r="C3" s="15"/>
      <c r="D3" s="41"/>
      <c r="F3" s="43"/>
    </row>
    <row r="4" spans="1:11" s="4" customFormat="1" ht="14.45" customHeight="1" x14ac:dyDescent="0.25">
      <c r="A4" s="20" t="s">
        <v>95</v>
      </c>
      <c r="B4" s="462" t="str">
        <f>'2 CONTEXTO E IDENTIFICACIÓN'!B4</f>
        <v>SUPERSOLIDARIA</v>
      </c>
      <c r="C4" s="462"/>
      <c r="D4" s="462"/>
      <c r="E4" s="122"/>
      <c r="F4" s="123"/>
    </row>
    <row r="5" spans="1:11" ht="15.75" thickBot="1" x14ac:dyDescent="0.3">
      <c r="A5" s="20" t="s">
        <v>96</v>
      </c>
      <c r="B5" s="462" t="str">
        <f>'2 CONTEXTO E IDENTIFICACIÓN'!F4</f>
        <v>PLES</v>
      </c>
      <c r="C5" s="463"/>
      <c r="D5" s="463"/>
    </row>
    <row r="6" spans="1:11" ht="15.75" thickBot="1" x14ac:dyDescent="0.3">
      <c r="A6" s="554" t="s">
        <v>345</v>
      </c>
      <c r="B6" s="555"/>
      <c r="C6" s="555"/>
      <c r="D6" s="555"/>
      <c r="E6" s="555"/>
      <c r="F6" s="555"/>
      <c r="G6" s="555"/>
      <c r="H6" s="555"/>
      <c r="I6" s="555"/>
      <c r="J6" s="555"/>
      <c r="K6" s="556"/>
    </row>
    <row r="7" spans="1:11" ht="6" customHeight="1" thickBot="1" x14ac:dyDescent="0.3">
      <c r="A7" s="554"/>
      <c r="B7" s="555"/>
      <c r="C7" s="555"/>
      <c r="D7" s="555"/>
      <c r="E7" s="555"/>
      <c r="F7" s="555"/>
      <c r="G7" s="555"/>
      <c r="H7" s="555"/>
      <c r="I7" s="555"/>
      <c r="J7" s="555"/>
      <c r="K7" s="556"/>
    </row>
    <row r="8" spans="1:11" ht="34.5" customHeight="1" x14ac:dyDescent="0.25">
      <c r="A8" s="557" t="s">
        <v>346</v>
      </c>
      <c r="B8" s="558"/>
      <c r="C8" s="558"/>
      <c r="D8" s="558"/>
      <c r="E8" s="558"/>
      <c r="F8" s="558"/>
      <c r="G8" s="558"/>
      <c r="H8" s="558"/>
      <c r="I8" s="558"/>
      <c r="J8" s="558"/>
      <c r="K8" s="559"/>
    </row>
    <row r="9" spans="1:11" ht="18.75" customHeight="1" x14ac:dyDescent="0.25">
      <c r="A9" s="563" t="s">
        <v>347</v>
      </c>
      <c r="B9" s="564"/>
      <c r="C9" s="564"/>
      <c r="D9" s="564"/>
      <c r="E9" s="564"/>
      <c r="F9" s="564"/>
      <c r="G9" s="564"/>
      <c r="H9" s="564"/>
      <c r="I9" s="564"/>
      <c r="J9" s="564"/>
      <c r="K9" s="565"/>
    </row>
    <row r="10" spans="1:11" ht="34.5" customHeight="1" x14ac:dyDescent="0.25">
      <c r="A10" s="560" t="s">
        <v>348</v>
      </c>
      <c r="B10" s="561"/>
      <c r="C10" s="561"/>
      <c r="D10" s="561"/>
      <c r="E10" s="561"/>
      <c r="F10" s="561"/>
      <c r="G10" s="561"/>
      <c r="H10" s="561"/>
      <c r="I10" s="561"/>
      <c r="J10" s="561"/>
      <c r="K10" s="562"/>
    </row>
    <row r="11" spans="1:11" ht="50.25" customHeight="1" thickBot="1" x14ac:dyDescent="0.3">
      <c r="A11" s="571" t="s">
        <v>349</v>
      </c>
      <c r="B11" s="572"/>
      <c r="C11" s="572"/>
      <c r="D11" s="572"/>
      <c r="E11" s="572"/>
      <c r="F11" s="572"/>
      <c r="G11" s="572"/>
      <c r="H11" s="572"/>
      <c r="I11" s="572"/>
      <c r="J11" s="572"/>
      <c r="K11" s="573"/>
    </row>
    <row r="12" spans="1:11" x14ac:dyDescent="0.25">
      <c r="A12" s="124"/>
      <c r="B12" s="124"/>
      <c r="C12" s="124"/>
      <c r="D12" s="124"/>
      <c r="E12" s="124"/>
      <c r="F12" s="124"/>
      <c r="G12" s="124"/>
      <c r="H12" s="124"/>
      <c r="I12" s="124"/>
      <c r="J12" s="124"/>
      <c r="K12" s="124"/>
    </row>
    <row r="13" spans="1:11" s="126" customFormat="1" ht="38.25" x14ac:dyDescent="0.25">
      <c r="A13" s="125"/>
      <c r="B13" s="568" t="s">
        <v>350</v>
      </c>
      <c r="C13" s="569"/>
      <c r="D13" s="570" t="s">
        <v>351</v>
      </c>
      <c r="E13" s="570"/>
      <c r="G13" s="73" t="s">
        <v>299</v>
      </c>
    </row>
    <row r="14" spans="1:11" x14ac:dyDescent="0.25">
      <c r="A14" s="127" t="s">
        <v>352</v>
      </c>
      <c r="B14" s="128">
        <f>+COUNTIF('8 MAPA RIESGOS'!$G$9:$G$27,G14)</f>
        <v>0</v>
      </c>
      <c r="C14" s="129">
        <f>+B14/$B$18</f>
        <v>0</v>
      </c>
      <c r="D14" s="128">
        <f>+COUNTIF('8 MAPA RIESGOS'!$L$9:$L$27,G14)</f>
        <v>0</v>
      </c>
      <c r="E14" s="129">
        <f>+D14/$D$18</f>
        <v>0</v>
      </c>
      <c r="G14" s="103" t="s">
        <v>297</v>
      </c>
    </row>
    <row r="15" spans="1:11" x14ac:dyDescent="0.25">
      <c r="A15" s="127" t="s">
        <v>353</v>
      </c>
      <c r="B15" s="128">
        <f>+COUNTIF('8 MAPA RIESGOS'!$G$9:$G$27,G15)</f>
        <v>0</v>
      </c>
      <c r="C15" s="129">
        <f t="shared" ref="C15:C18" si="0">+B15/$B$18</f>
        <v>0</v>
      </c>
      <c r="D15" s="128">
        <f>+COUNTIF('8 MAPA RIESGOS'!$L$9:$L$27,G15)</f>
        <v>0</v>
      </c>
      <c r="E15" s="129">
        <f t="shared" ref="E15:E18" si="1">+D15/$D$18</f>
        <v>0</v>
      </c>
      <c r="G15" s="86" t="s">
        <v>296</v>
      </c>
    </row>
    <row r="16" spans="1:11" x14ac:dyDescent="0.25">
      <c r="A16" s="127" t="s">
        <v>354</v>
      </c>
      <c r="B16" s="128">
        <f>+COUNTIF('8 MAPA RIESGOS'!$G$9:$G$27,G16)</f>
        <v>4</v>
      </c>
      <c r="C16" s="129">
        <f t="shared" si="0"/>
        <v>1</v>
      </c>
      <c r="D16" s="128">
        <f>+COUNTIF('8 MAPA RIESGOS'!$L$9:$L$27,G16)</f>
        <v>3</v>
      </c>
      <c r="E16" s="129">
        <f t="shared" si="1"/>
        <v>1</v>
      </c>
      <c r="G16" s="90" t="s">
        <v>278</v>
      </c>
    </row>
    <row r="17" spans="1:7" x14ac:dyDescent="0.25">
      <c r="A17" s="127" t="s">
        <v>355</v>
      </c>
      <c r="B17" s="128">
        <f>+COUNTIF('8 MAPA RIESGOS'!$G$9:$G$27,G17)</f>
        <v>0</v>
      </c>
      <c r="C17" s="129">
        <f t="shared" si="0"/>
        <v>0</v>
      </c>
      <c r="D17" s="128">
        <f>+COUNTIF('8 MAPA RIESGOS'!$L$9:$L$27,G17)</f>
        <v>0</v>
      </c>
      <c r="E17" s="129">
        <f t="shared" si="1"/>
        <v>0</v>
      </c>
      <c r="G17" s="94" t="s">
        <v>298</v>
      </c>
    </row>
    <row r="18" spans="1:7" x14ac:dyDescent="0.25">
      <c r="A18" s="127" t="s">
        <v>356</v>
      </c>
      <c r="B18" s="128">
        <f>+SUM(B14:B17)</f>
        <v>4</v>
      </c>
      <c r="C18" s="129">
        <f t="shared" si="0"/>
        <v>1</v>
      </c>
      <c r="D18" s="128">
        <f>+SUM(D14:D17)</f>
        <v>3</v>
      </c>
      <c r="E18" s="129">
        <f t="shared" si="1"/>
        <v>1</v>
      </c>
    </row>
    <row r="19" spans="1:7" x14ac:dyDescent="0.25"/>
    <row r="20" spans="1:7" s="130" customFormat="1" x14ac:dyDescent="0.25">
      <c r="B20" s="131" t="s">
        <v>350</v>
      </c>
      <c r="D20" s="131" t="s">
        <v>351</v>
      </c>
    </row>
    <row r="21" spans="1:7" s="130" customFormat="1" ht="41.45" customHeight="1" x14ac:dyDescent="0.25">
      <c r="B21" s="132" t="str">
        <f>+IF((B14/B18)&gt;=0.2,G14,+IF(((B14/B18)+(B15/B18))&gt;=0.3,G15,+IF(((B14/B18)+(B15/B18)+(B16/B18))&gt;=0.4,G16,+IF((B14/B18)+(B15/B18)+(B16/B18)+(B17/B18)&gt;=0.5,G17,""))))</f>
        <v>Moderado</v>
      </c>
      <c r="D21" s="132"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7" sqref="B7:D7"/>
    </sheetView>
  </sheetViews>
  <sheetFormatPr baseColWidth="10" defaultColWidth="11.42578125" defaultRowHeight="15" x14ac:dyDescent="0.25"/>
  <cols>
    <col min="1" max="1" width="17.42578125" style="284"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74"/>
      <c r="B1" s="461" t="str">
        <f>+'2 CONTEXTO E IDENTIFICACIÓN'!A1</f>
        <v>MAPA DE RIESGOS</v>
      </c>
      <c r="C1" s="472"/>
      <c r="D1" s="473"/>
    </row>
    <row r="2" spans="1:4" ht="36.75" customHeight="1" x14ac:dyDescent="0.25">
      <c r="A2" s="574"/>
      <c r="B2" s="461"/>
      <c r="C2" s="39" t="str">
        <f>+'2 CONTEXTO E IDENTIFICACIÓN'!A2</f>
        <v>VERSIÓN:</v>
      </c>
      <c r="D2" s="142">
        <f>'2 CONTEXTO E IDENTIFICACIÓN'!B2</f>
        <v>0</v>
      </c>
    </row>
    <row r="3" spans="1:4" s="207" customFormat="1" x14ac:dyDescent="0.25">
      <c r="A3" s="282" t="s">
        <v>357</v>
      </c>
      <c r="B3" s="576" t="s">
        <v>358</v>
      </c>
      <c r="C3" s="576"/>
      <c r="D3" s="576"/>
    </row>
    <row r="4" spans="1:4" ht="104.25" customHeight="1" x14ac:dyDescent="0.25">
      <c r="A4" s="350">
        <v>46003</v>
      </c>
      <c r="B4" s="577" t="s">
        <v>368</v>
      </c>
      <c r="C4" s="577"/>
      <c r="D4" s="577"/>
    </row>
    <row r="5" spans="1:4" s="208" customFormat="1" ht="56.25" customHeight="1" x14ac:dyDescent="0.25">
      <c r="A5" s="350">
        <v>46252</v>
      </c>
      <c r="B5" s="577" t="s">
        <v>382</v>
      </c>
      <c r="C5" s="577"/>
      <c r="D5" s="577"/>
    </row>
    <row r="6" spans="1:4" x14ac:dyDescent="0.25">
      <c r="A6" s="351"/>
      <c r="B6" s="575"/>
      <c r="C6" s="575"/>
      <c r="D6" s="575"/>
    </row>
    <row r="7" spans="1:4" x14ac:dyDescent="0.25">
      <c r="A7" s="351"/>
      <c r="B7" s="575"/>
      <c r="C7" s="575"/>
      <c r="D7" s="575"/>
    </row>
    <row r="8" spans="1:4" x14ac:dyDescent="0.25">
      <c r="A8" s="351"/>
      <c r="B8" s="578"/>
      <c r="C8" s="578"/>
      <c r="D8" s="578"/>
    </row>
    <row r="9" spans="1:4" x14ac:dyDescent="0.25">
      <c r="A9" s="351"/>
      <c r="B9" s="575"/>
      <c r="C9" s="575"/>
      <c r="D9" s="575"/>
    </row>
    <row r="10" spans="1:4" x14ac:dyDescent="0.25">
      <c r="A10" s="283"/>
      <c r="B10" s="209"/>
      <c r="C10" s="209"/>
      <c r="D10" s="209"/>
    </row>
    <row r="11" spans="1:4" x14ac:dyDescent="0.25">
      <c r="A11" s="283"/>
      <c r="B11" s="209"/>
      <c r="C11" s="209"/>
      <c r="D11" s="209"/>
    </row>
    <row r="12" spans="1:4" x14ac:dyDescent="0.25">
      <c r="A12" s="283"/>
      <c r="B12" s="209"/>
      <c r="C12" s="209"/>
      <c r="D12" s="209"/>
    </row>
    <row r="13" spans="1:4" x14ac:dyDescent="0.25">
      <c r="A13" s="283"/>
      <c r="B13" s="209"/>
      <c r="C13" s="209"/>
      <c r="D13" s="209"/>
    </row>
    <row r="14" spans="1:4" x14ac:dyDescent="0.25">
      <c r="A14" s="283"/>
      <c r="B14" s="209"/>
      <c r="C14" s="209"/>
      <c r="D14" s="209"/>
    </row>
    <row r="15" spans="1:4" x14ac:dyDescent="0.25">
      <c r="A15" s="283"/>
      <c r="B15" s="209"/>
      <c r="C15" s="209"/>
      <c r="D15" s="209"/>
    </row>
    <row r="16" spans="1:4" x14ac:dyDescent="0.25">
      <c r="A16" s="283"/>
      <c r="B16" s="209"/>
      <c r="C16" s="209"/>
      <c r="D16" s="209"/>
    </row>
    <row r="17" spans="1:4" x14ac:dyDescent="0.25">
      <c r="A17" s="283"/>
      <c r="B17" s="209"/>
      <c r="C17" s="209"/>
      <c r="D17" s="209"/>
    </row>
    <row r="18" spans="1:4" x14ac:dyDescent="0.25">
      <c r="A18" s="283"/>
      <c r="B18" s="209"/>
      <c r="C18" s="209"/>
      <c r="D18" s="209"/>
    </row>
    <row r="19" spans="1:4" x14ac:dyDescent="0.25">
      <c r="A19" s="283"/>
      <c r="B19" s="209"/>
      <c r="C19" s="209"/>
      <c r="D19" s="209"/>
    </row>
    <row r="20" spans="1:4" x14ac:dyDescent="0.25">
      <c r="A20" s="283"/>
      <c r="B20" s="209"/>
      <c r="C20" s="209"/>
      <c r="D20" s="209"/>
    </row>
    <row r="21" spans="1:4" x14ac:dyDescent="0.25">
      <c r="A21" s="283"/>
      <c r="B21" s="209"/>
      <c r="C21" s="209"/>
      <c r="D21" s="209"/>
    </row>
    <row r="22" spans="1:4" x14ac:dyDescent="0.25">
      <c r="A22" s="283"/>
      <c r="B22" s="209"/>
      <c r="C22" s="209"/>
      <c r="D22" s="209"/>
    </row>
    <row r="23" spans="1:4" x14ac:dyDescent="0.25">
      <c r="A23" s="283"/>
      <c r="B23" s="209"/>
      <c r="C23" s="209"/>
      <c r="D23" s="209"/>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11 FORMULAS</vt:lpstr>
      <vt:lpstr>2 CONTEXTO E IDENTIFICACIÓN</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Jesus Alberto Orozco Castiblanco</cp:lastModifiedBy>
  <cp:revision/>
  <dcterms:created xsi:type="dcterms:W3CDTF">2006-09-16T00:00:00Z</dcterms:created>
  <dcterms:modified xsi:type="dcterms:W3CDTF">2026-08-20T14:55:51Z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