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codeName="ThisWorkbook" defaultThemeVersion="124226"/>
  <mc:AlternateContent xmlns:mc="http://schemas.openxmlformats.org/markup-compatibility/2006">
    <mc:Choice Requires="x15">
      <x15ac:absPath xmlns:x15ac="http://schemas.microsoft.com/office/spreadsheetml/2010/11/ac" url="G:\Unidades compartidas\1SA_2025\Gestion 2026\Procesos\GITH\Riesgos\"/>
    </mc:Choice>
  </mc:AlternateContent>
  <xr:revisionPtr revIDLastSave="0" documentId="8_{1112F9ED-9C9F-443E-A133-A43CC865989F}" xr6:coauthVersionLast="47" xr6:coauthVersionMax="47" xr10:uidLastSave="{00000000-0000-0000-0000-000000000000}"/>
  <bookViews>
    <workbookView xWindow="-120" yWindow="-120" windowWidth="29040" windowHeight="15720" firstSheet="4"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1" i="15" l="1"/>
  <c r="E10" i="30" l="1"/>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S11" i="9" s="1"/>
  <c r="K12" i="9"/>
  <c r="S12" i="9" s="1"/>
  <c r="K13" i="9"/>
  <c r="S13" i="9" s="1"/>
  <c r="K14" i="9"/>
  <c r="K15" i="9"/>
  <c r="S15" i="9" s="1"/>
  <c r="K16" i="9"/>
  <c r="S16" i="9" s="1"/>
  <c r="K17" i="9"/>
  <c r="S17" i="9" s="1"/>
  <c r="K18" i="9"/>
  <c r="K19" i="9"/>
  <c r="S19" i="9" s="1"/>
  <c r="K20" i="9"/>
  <c r="K21" i="9"/>
  <c r="K22" i="9"/>
  <c r="S22" i="9" s="1"/>
  <c r="K23" i="9"/>
  <c r="S23" i="9" s="1"/>
  <c r="K24" i="9"/>
  <c r="S24" i="9" s="1"/>
  <c r="K25" i="9"/>
  <c r="S25" i="9" s="1"/>
  <c r="K26" i="9"/>
  <c r="K27" i="9"/>
  <c r="S27" i="9" s="1"/>
  <c r="K28" i="9"/>
  <c r="S28" i="9" s="1"/>
  <c r="K29" i="9"/>
  <c r="S29" i="9" s="1"/>
  <c r="K30" i="9"/>
  <c r="S30" i="9" s="1"/>
  <c r="K31" i="9"/>
  <c r="S31" i="9" s="1"/>
  <c r="K32" i="9"/>
  <c r="K33" i="9"/>
  <c r="S33" i="9" s="1"/>
  <c r="K34" i="9"/>
  <c r="S34" i="9" s="1"/>
  <c r="K35" i="9"/>
  <c r="S35" i="9" s="1"/>
  <c r="K36" i="9"/>
  <c r="S36" i="9" s="1"/>
  <c r="K37" i="9"/>
  <c r="S37" i="9" s="1"/>
  <c r="K38" i="9"/>
  <c r="K39" i="9"/>
  <c r="S39" i="9" s="1"/>
  <c r="K40" i="9"/>
  <c r="S40" i="9" s="1"/>
  <c r="K41" i="9"/>
  <c r="S41" i="9" s="1"/>
  <c r="K42" i="9"/>
  <c r="S42" i="9" s="1"/>
  <c r="K43" i="9"/>
  <c r="S43" i="9" s="1"/>
  <c r="K44" i="9"/>
  <c r="S44" i="9" s="1"/>
  <c r="K45" i="9"/>
  <c r="S45" i="9" s="1"/>
  <c r="K46" i="9"/>
  <c r="S46" i="9" s="1"/>
  <c r="K47" i="9"/>
  <c r="S47" i="9" s="1"/>
  <c r="K48" i="9"/>
  <c r="S48" i="9" s="1"/>
  <c r="K49" i="9"/>
  <c r="S49" i="9" s="1"/>
  <c r="K50" i="9"/>
  <c r="S50" i="9" s="1"/>
  <c r="K51" i="9"/>
  <c r="S51" i="9" s="1"/>
  <c r="K52" i="9"/>
  <c r="S52" i="9" s="1"/>
  <c r="K53" i="9"/>
  <c r="S53" i="9" s="1"/>
  <c r="K54" i="9"/>
  <c r="S54" i="9" s="1"/>
  <c r="K55" i="9"/>
  <c r="S55" i="9" s="1"/>
  <c r="K56" i="9"/>
  <c r="S56" i="9" s="1"/>
  <c r="K57" i="9"/>
  <c r="S57" i="9" s="1"/>
  <c r="K58" i="9"/>
  <c r="S58" i="9" s="1"/>
  <c r="K59" i="9"/>
  <c r="S59" i="9" s="1"/>
  <c r="K60" i="9"/>
  <c r="S60" i="9" s="1"/>
  <c r="K61" i="9"/>
  <c r="S61" i="9" s="1"/>
  <c r="K62" i="9"/>
  <c r="S62" i="9" s="1"/>
  <c r="K63" i="9"/>
  <c r="S63" i="9" s="1"/>
  <c r="K64" i="9"/>
  <c r="S64" i="9" s="1"/>
  <c r="K65" i="9"/>
  <c r="S65" i="9" s="1"/>
  <c r="K66" i="9"/>
  <c r="S66" i="9" s="1"/>
  <c r="K67" i="9"/>
  <c r="S67" i="9" s="1"/>
  <c r="K68" i="9"/>
  <c r="S68" i="9" s="1"/>
  <c r="K69" i="9"/>
  <c r="S69" i="9" s="1"/>
  <c r="K70" i="9"/>
  <c r="S70" i="9" s="1"/>
  <c r="K71" i="9"/>
  <c r="S71" i="9" s="1"/>
  <c r="K72" i="9"/>
  <c r="S72" i="9" s="1"/>
  <c r="K73" i="9"/>
  <c r="S73" i="9" s="1"/>
  <c r="K74" i="9"/>
  <c r="S74" i="9" s="1"/>
  <c r="K75" i="9"/>
  <c r="S75" i="9" s="1"/>
  <c r="K76" i="9"/>
  <c r="S76" i="9" s="1"/>
  <c r="K77" i="9"/>
  <c r="S77" i="9" s="1"/>
  <c r="K78" i="9"/>
  <c r="S78" i="9" s="1"/>
  <c r="K79" i="9"/>
  <c r="S79" i="9" s="1"/>
  <c r="K80" i="9"/>
  <c r="S80" i="9" s="1"/>
  <c r="K81" i="9"/>
  <c r="S81" i="9" s="1"/>
  <c r="K82" i="9"/>
  <c r="S82" i="9" s="1"/>
  <c r="K83" i="9"/>
  <c r="S83" i="9" s="1"/>
  <c r="K84" i="9"/>
  <c r="S84" i="9" s="1"/>
  <c r="K85" i="9"/>
  <c r="S85" i="9" s="1"/>
  <c r="K86" i="9"/>
  <c r="S86" i="9" s="1"/>
  <c r="K87" i="9"/>
  <c r="S87" i="9" s="1"/>
  <c r="K88" i="9"/>
  <c r="K89" i="9"/>
  <c r="S89" i="9" s="1"/>
  <c r="K90" i="9"/>
  <c r="S90" i="9" s="1"/>
  <c r="K91" i="9"/>
  <c r="S91" i="9" s="1"/>
  <c r="K92" i="9"/>
  <c r="S92" i="9" s="1"/>
  <c r="K93" i="9"/>
  <c r="S93" i="9" s="1"/>
  <c r="K94" i="9"/>
  <c r="S94" i="9" s="1"/>
  <c r="K95" i="9"/>
  <c r="S95" i="9" s="1"/>
  <c r="K96" i="9"/>
  <c r="S96" i="9" s="1"/>
  <c r="K97" i="9"/>
  <c r="S97" i="9" s="1"/>
  <c r="K98" i="9"/>
  <c r="S98" i="9" s="1"/>
  <c r="K99" i="9"/>
  <c r="S99" i="9" s="1"/>
  <c r="K100" i="9"/>
  <c r="S100" i="9" s="1"/>
  <c r="K101" i="9"/>
  <c r="S101" i="9" s="1"/>
  <c r="K102" i="9"/>
  <c r="S102" i="9" s="1"/>
  <c r="K103" i="9"/>
  <c r="S103" i="9" s="1"/>
  <c r="K104" i="9"/>
  <c r="S104" i="9" s="1"/>
  <c r="K105" i="9"/>
  <c r="S105" i="9" s="1"/>
  <c r="K106" i="9"/>
  <c r="S106" i="9" s="1"/>
  <c r="K107" i="9"/>
  <c r="S107" i="9" s="1"/>
  <c r="K108" i="9"/>
  <c r="S108" i="9" s="1"/>
  <c r="K109" i="9"/>
  <c r="S109" i="9" s="1"/>
  <c r="K110" i="9"/>
  <c r="S110" i="9" s="1"/>
  <c r="K111" i="9"/>
  <c r="S111" i="9" s="1"/>
  <c r="K112" i="9"/>
  <c r="S112" i="9" s="1"/>
  <c r="K113" i="9"/>
  <c r="S113" i="9" s="1"/>
  <c r="K114" i="9"/>
  <c r="S114" i="9" s="1"/>
  <c r="K115" i="9"/>
  <c r="S115" i="9" s="1"/>
  <c r="K116" i="9"/>
  <c r="S116" i="9" s="1"/>
  <c r="K117" i="9"/>
  <c r="S117" i="9" s="1"/>
  <c r="K118" i="9"/>
  <c r="S118" i="9" s="1"/>
  <c r="K119" i="9"/>
  <c r="S119" i="9" s="1"/>
  <c r="K120" i="9"/>
  <c r="S120" i="9" s="1"/>
  <c r="K121" i="9"/>
  <c r="S121" i="9" s="1"/>
  <c r="K122" i="9"/>
  <c r="S122" i="9" s="1"/>
  <c r="K123" i="9"/>
  <c r="S123" i="9" s="1"/>
  <c r="K124" i="9"/>
  <c r="S124" i="9" s="1"/>
  <c r="K125" i="9"/>
  <c r="S125" i="9" s="1"/>
  <c r="K126" i="9"/>
  <c r="S126" i="9" s="1"/>
  <c r="K127" i="9"/>
  <c r="S127" i="9" s="1"/>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38" i="9" l="1"/>
  <c r="S32" i="9"/>
  <c r="S21" i="9"/>
  <c r="S18" i="9"/>
  <c r="S10" i="9"/>
  <c r="S9" i="9"/>
  <c r="S20" i="9"/>
  <c r="S26" i="9"/>
  <c r="S14" i="9"/>
  <c r="S8" i="9"/>
  <c r="U121"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M18" i="15" s="1"/>
  <c r="L18" i="15"/>
  <c r="K19" i="15"/>
  <c r="L19" i="15"/>
  <c r="K20" i="15"/>
  <c r="L20" i="15"/>
  <c r="K21" i="15"/>
  <c r="L21" i="15"/>
  <c r="K22" i="15"/>
  <c r="M22" i="15" s="1"/>
  <c r="L22" i="15"/>
  <c r="K23" i="15"/>
  <c r="M23" i="15" s="1"/>
  <c r="L23" i="15"/>
  <c r="K24" i="15"/>
  <c r="L24" i="15"/>
  <c r="K25" i="15"/>
  <c r="L25" i="15"/>
  <c r="K26" i="15"/>
  <c r="M26" i="15" s="1"/>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E10" i="15" s="1"/>
  <c r="C14" i="9" s="1"/>
  <c r="D11" i="15"/>
  <c r="E11" i="15" s="1"/>
  <c r="C11" i="36" s="1"/>
  <c r="D12" i="15"/>
  <c r="E12" i="15" s="1"/>
  <c r="D13" i="15"/>
  <c r="F13" i="15" s="1"/>
  <c r="C13" i="31" s="1"/>
  <c r="D14" i="15"/>
  <c r="E14" i="15" s="1"/>
  <c r="D15" i="15"/>
  <c r="F15" i="15" s="1"/>
  <c r="C15" i="31" s="1"/>
  <c r="D16" i="15"/>
  <c r="D17" i="15"/>
  <c r="D18" i="15"/>
  <c r="F18" i="15" s="1"/>
  <c r="C18" i="31" s="1"/>
  <c r="D19" i="15"/>
  <c r="D20" i="15"/>
  <c r="E20" i="15" s="1"/>
  <c r="D21" i="15"/>
  <c r="D22" i="15"/>
  <c r="E22" i="15" s="1"/>
  <c r="D23" i="15"/>
  <c r="E23" i="15" s="1"/>
  <c r="D24" i="15"/>
  <c r="E24" i="15" s="1"/>
  <c r="D25" i="15"/>
  <c r="D26" i="15"/>
  <c r="E26" i="15" s="1"/>
  <c r="D27" i="15"/>
  <c r="E27" i="15" s="1"/>
  <c r="D28" i="15"/>
  <c r="F28" i="15" s="1"/>
  <c r="C28" i="31" s="1"/>
  <c r="E21" i="15"/>
  <c r="C80" i="9"/>
  <c r="E25" i="15"/>
  <c r="C25" i="36" s="1"/>
  <c r="E17" i="15"/>
  <c r="C56" i="9" s="1"/>
  <c r="E28" i="15"/>
  <c r="C28" i="36" s="1"/>
  <c r="E16" i="15"/>
  <c r="C16" i="36" s="1"/>
  <c r="E19" i="15"/>
  <c r="C19" i="36" s="1"/>
  <c r="C17" i="36"/>
  <c r="M17" i="15"/>
  <c r="D56" i="9" s="1"/>
  <c r="M28" i="15"/>
  <c r="N28" i="15" s="1"/>
  <c r="D28" i="31" s="1"/>
  <c r="F28" i="36" s="1"/>
  <c r="M20" i="15"/>
  <c r="M19" i="15"/>
  <c r="D19" i="36" s="1"/>
  <c r="M15" i="15"/>
  <c r="D15" i="36" s="1"/>
  <c r="B10" i="15"/>
  <c r="B20" i="9"/>
  <c r="B26" i="9"/>
  <c r="B32" i="9"/>
  <c r="B14" i="31"/>
  <c r="B15" i="35"/>
  <c r="B50" i="9"/>
  <c r="B56" i="9"/>
  <c r="B62" i="9"/>
  <c r="B19" i="35"/>
  <c r="B74" i="9"/>
  <c r="B80" i="9"/>
  <c r="B86" i="9"/>
  <c r="B92" i="9"/>
  <c r="B98" i="9"/>
  <c r="B25" i="31"/>
  <c r="B26" i="35"/>
  <c r="B116" i="9"/>
  <c r="B28" i="15"/>
  <c r="B9" i="15"/>
  <c r="D17" i="36"/>
  <c r="D20" i="36"/>
  <c r="D74" i="9"/>
  <c r="C122" i="9"/>
  <c r="C21" i="36"/>
  <c r="N20" i="15"/>
  <c r="D20" i="31" s="1"/>
  <c r="F20" i="36" s="1"/>
  <c r="N17" i="15"/>
  <c r="D17" i="31" s="1"/>
  <c r="F17" i="36" s="1"/>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6" i="15"/>
  <c r="C16" i="31" s="1"/>
  <c r="F17" i="15"/>
  <c r="C17" i="31" s="1"/>
  <c r="E17" i="31" s="1"/>
  <c r="G17" i="36" s="1"/>
  <c r="F19" i="15"/>
  <c r="C19" i="31" s="1"/>
  <c r="F20" i="15"/>
  <c r="C20" i="31" s="1"/>
  <c r="F21" i="15"/>
  <c r="C21" i="31" s="1"/>
  <c r="F22" i="15"/>
  <c r="C22" i="31" s="1"/>
  <c r="F24" i="15"/>
  <c r="C24" i="31" s="1"/>
  <c r="F25" i="15"/>
  <c r="C25" i="31" s="1"/>
  <c r="F26" i="15"/>
  <c r="C26" i="31" s="1"/>
  <c r="F27" i="15"/>
  <c r="C27" i="31" s="1"/>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C86" i="9" l="1"/>
  <c r="C22" i="36"/>
  <c r="E24" i="31"/>
  <c r="G24" i="36" s="1"/>
  <c r="E24" i="36"/>
  <c r="E19" i="31"/>
  <c r="G19" i="36" s="1"/>
  <c r="E19" i="36"/>
  <c r="C110" i="9"/>
  <c r="C26" i="36"/>
  <c r="C27" i="36"/>
  <c r="C116" i="9"/>
  <c r="C68" i="9"/>
  <c r="C104" i="9"/>
  <c r="N15" i="15"/>
  <c r="D15" i="31" s="1"/>
  <c r="F15" i="36" s="1"/>
  <c r="D44" i="9"/>
  <c r="M14" i="15"/>
  <c r="D38" i="9" s="1"/>
  <c r="C14" i="36"/>
  <c r="C38" i="9"/>
  <c r="F14" i="15"/>
  <c r="C14" i="31" s="1"/>
  <c r="E13" i="15"/>
  <c r="C13" i="36" s="1"/>
  <c r="M12" i="15"/>
  <c r="N12" i="15" s="1"/>
  <c r="D12" i="31" s="1"/>
  <c r="F12" i="36" s="1"/>
  <c r="F12" i="15"/>
  <c r="C12" i="31" s="1"/>
  <c r="E12" i="36" s="1"/>
  <c r="F11" i="15"/>
  <c r="C11" i="31" s="1"/>
  <c r="M10" i="15"/>
  <c r="D10" i="36" s="1"/>
  <c r="F10" i="15"/>
  <c r="C10" i="31" s="1"/>
  <c r="M27" i="15"/>
  <c r="M25" i="15"/>
  <c r="N25" i="15" s="1"/>
  <c r="D25" i="31" s="1"/>
  <c r="F25" i="36" s="1"/>
  <c r="M24" i="15"/>
  <c r="D98" i="9" s="1"/>
  <c r="U98" i="9" s="1"/>
  <c r="M21" i="15"/>
  <c r="N21" i="15" s="1"/>
  <c r="D21" i="31" s="1"/>
  <c r="F21" i="36" s="1"/>
  <c r="M16" i="15"/>
  <c r="M13" i="15"/>
  <c r="D13" i="36" s="1"/>
  <c r="M11" i="15"/>
  <c r="D20" i="9"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D25" i="36"/>
  <c r="D104" i="9"/>
  <c r="U104" i="9" s="1"/>
  <c r="E21" i="31"/>
  <c r="G21" i="36" s="1"/>
  <c r="E21" i="36"/>
  <c r="D24" i="36"/>
  <c r="E18" i="31"/>
  <c r="G18" i="36" s="1"/>
  <c r="E18" i="36"/>
  <c r="N27" i="15"/>
  <c r="D27" i="31" s="1"/>
  <c r="F27" i="36" s="1"/>
  <c r="D27" i="36"/>
  <c r="D116" i="9"/>
  <c r="U116" i="9" s="1"/>
  <c r="D11" i="36"/>
  <c r="C92" i="9"/>
  <c r="C23" i="36"/>
  <c r="D22" i="36"/>
  <c r="D86" i="9"/>
  <c r="N22" i="15"/>
  <c r="D22" i="31" s="1"/>
  <c r="F22" i="36" s="1"/>
  <c r="E16" i="36"/>
  <c r="E16" i="31"/>
  <c r="G16" i="36" s="1"/>
  <c r="N23" i="15"/>
  <c r="D23" i="31" s="1"/>
  <c r="F23" i="36" s="1"/>
  <c r="D23" i="36"/>
  <c r="D92" i="9"/>
  <c r="U92" i="9" s="1"/>
  <c r="E22" i="31"/>
  <c r="G22" i="36" s="1"/>
  <c r="E22" i="36"/>
  <c r="E15" i="31"/>
  <c r="G15" i="36" s="1"/>
  <c r="E15" i="36"/>
  <c r="N26" i="15"/>
  <c r="D26" i="31" s="1"/>
  <c r="F26" i="36" s="1"/>
  <c r="D26" i="36"/>
  <c r="D110" i="9"/>
  <c r="U110" i="9" s="1"/>
  <c r="N16" i="15"/>
  <c r="D16" i="31" s="1"/>
  <c r="F16" i="36" s="1"/>
  <c r="D16" i="36"/>
  <c r="D50" i="9"/>
  <c r="E20" i="36"/>
  <c r="E20" i="31"/>
  <c r="G20" i="36" s="1"/>
  <c r="E27" i="31"/>
  <c r="G27" i="36" s="1"/>
  <c r="E27" i="36"/>
  <c r="E26" i="31"/>
  <c r="G26" i="36" s="1"/>
  <c r="E26" i="36"/>
  <c r="E28" i="31"/>
  <c r="G28" i="36" s="1"/>
  <c r="E28" i="36"/>
  <c r="C20" i="36"/>
  <c r="C74" i="9"/>
  <c r="C12" i="36"/>
  <c r="C26" i="9"/>
  <c r="N13" i="15"/>
  <c r="D13" i="31" s="1"/>
  <c r="F13" i="36" s="1"/>
  <c r="C24" i="36"/>
  <c r="C98" i="9"/>
  <c r="D18" i="36"/>
  <c r="D62" i="9"/>
  <c r="N18" i="15"/>
  <c r="D18" i="31" s="1"/>
  <c r="F18" i="36" s="1"/>
  <c r="E13" i="36"/>
  <c r="E25" i="36"/>
  <c r="E25" i="31"/>
  <c r="G25" i="36" s="1"/>
  <c r="D122" i="9"/>
  <c r="U122" i="9" s="1"/>
  <c r="U45" i="9"/>
  <c r="U48" i="9"/>
  <c r="U44" i="9"/>
  <c r="U46" i="9"/>
  <c r="U47" i="9"/>
  <c r="U49" i="9"/>
  <c r="D28" i="36"/>
  <c r="B12" i="36"/>
  <c r="B16" i="36"/>
  <c r="B20" i="36"/>
  <c r="B24" i="36"/>
  <c r="B28" i="36"/>
  <c r="N19" i="15"/>
  <c r="D19" i="31" s="1"/>
  <c r="F19" i="36" s="1"/>
  <c r="U56" i="9"/>
  <c r="U60" i="9"/>
  <c r="U58" i="9"/>
  <c r="U57" i="9"/>
  <c r="U59" i="9"/>
  <c r="U61" i="9"/>
  <c r="C20" i="9"/>
  <c r="C50" i="9"/>
  <c r="B122" i="9"/>
  <c r="E15" i="15"/>
  <c r="E18" i="15"/>
  <c r="E17" i="36"/>
  <c r="C10" i="36"/>
  <c r="F23" i="15"/>
  <c r="C23" i="31" s="1"/>
  <c r="D68" i="9"/>
  <c r="U79" i="9"/>
  <c r="U74" i="9"/>
  <c r="U75" i="9"/>
  <c r="U77" i="9"/>
  <c r="U78" i="9"/>
  <c r="U76" i="9"/>
  <c r="E9" i="15"/>
  <c r="C8" i="9" s="1"/>
  <c r="E9" i="36"/>
  <c r="M9" i="15"/>
  <c r="D8" i="9" s="1"/>
  <c r="B9" i="35"/>
  <c r="B9" i="36"/>
  <c r="B8" i="9"/>
  <c r="B9" i="31"/>
  <c r="D80" i="9" l="1"/>
  <c r="D21" i="36"/>
  <c r="N24" i="15"/>
  <c r="D24" i="31" s="1"/>
  <c r="F24" i="36" s="1"/>
  <c r="N10" i="15"/>
  <c r="D10" i="31" s="1"/>
  <c r="F10" i="36" s="1"/>
  <c r="N14" i="15"/>
  <c r="D14" i="31" s="1"/>
  <c r="F14" i="36" s="1"/>
  <c r="U38" i="9"/>
  <c r="U40" i="9"/>
  <c r="U39" i="9"/>
  <c r="U41" i="9"/>
  <c r="D14" i="36"/>
  <c r="U42" i="9"/>
  <c r="U43" i="9"/>
  <c r="I14" i="36" s="1"/>
  <c r="K14" i="36" s="1"/>
  <c r="E14" i="36"/>
  <c r="D32" i="9"/>
  <c r="E13" i="31"/>
  <c r="G13" i="36" s="1"/>
  <c r="C32" i="9"/>
  <c r="D12" i="36"/>
  <c r="D26" i="9"/>
  <c r="D14" i="9"/>
  <c r="N11" i="15"/>
  <c r="D11" i="31" s="1"/>
  <c r="F11" i="36" s="1"/>
  <c r="E12" i="31"/>
  <c r="G12" i="36" s="1"/>
  <c r="E11" i="36"/>
  <c r="E10" i="36"/>
  <c r="N9" i="15"/>
  <c r="D9" i="31" s="1"/>
  <c r="E9" i="31" s="1"/>
  <c r="G9" i="36" s="1"/>
  <c r="D9" i="36"/>
  <c r="U13" i="9"/>
  <c r="W8" i="9" s="1"/>
  <c r="U9" i="9"/>
  <c r="U8" i="9"/>
  <c r="U12" i="9"/>
  <c r="U11" i="9"/>
  <c r="U10" i="9"/>
  <c r="U84" i="9"/>
  <c r="U81" i="9"/>
  <c r="U83" i="9"/>
  <c r="U80" i="9"/>
  <c r="U85" i="9"/>
  <c r="W80" i="9" s="1"/>
  <c r="U82" i="9"/>
  <c r="U25" i="9"/>
  <c r="W20" i="9" s="1"/>
  <c r="U20" i="9"/>
  <c r="U21" i="9"/>
  <c r="U22" i="9"/>
  <c r="U24" i="9"/>
  <c r="U23" i="9"/>
  <c r="E23" i="31"/>
  <c r="G23" i="36" s="1"/>
  <c r="E23" i="36"/>
  <c r="U64" i="9"/>
  <c r="U67" i="9"/>
  <c r="D18" i="35" s="1"/>
  <c r="F18" i="35" s="1"/>
  <c r="U66" i="9"/>
  <c r="U63" i="9"/>
  <c r="U65" i="9"/>
  <c r="U62" i="9"/>
  <c r="C9" i="36"/>
  <c r="U71" i="9"/>
  <c r="U70" i="9"/>
  <c r="U73" i="9"/>
  <c r="I19" i="36" s="1"/>
  <c r="K19" i="36" s="1"/>
  <c r="U68" i="9"/>
  <c r="U72" i="9"/>
  <c r="U69" i="9"/>
  <c r="U55" i="9"/>
  <c r="W50" i="9" s="1"/>
  <c r="U50" i="9"/>
  <c r="U54" i="9"/>
  <c r="U53" i="9"/>
  <c r="U52" i="9"/>
  <c r="U51" i="9"/>
  <c r="U89" i="9"/>
  <c r="U91" i="9"/>
  <c r="D22" i="35" s="1"/>
  <c r="F22" i="35" s="1"/>
  <c r="U88" i="9"/>
  <c r="U90" i="9"/>
  <c r="U87" i="9"/>
  <c r="U86" i="9"/>
  <c r="C15" i="36"/>
  <c r="C44" i="9"/>
  <c r="T126" i="9"/>
  <c r="T115" i="9"/>
  <c r="V110" i="9" s="1"/>
  <c r="T51" i="9"/>
  <c r="T54" i="9"/>
  <c r="T10" i="9"/>
  <c r="T13" i="9"/>
  <c r="V8" i="9" s="1"/>
  <c r="T66" i="9"/>
  <c r="T81" i="9"/>
  <c r="T17" i="9"/>
  <c r="T88" i="9"/>
  <c r="T24" i="9"/>
  <c r="T103" i="9"/>
  <c r="V98" i="9" s="1"/>
  <c r="T39" i="9"/>
  <c r="T69" i="9"/>
  <c r="T94" i="9"/>
  <c r="T118" i="9"/>
  <c r="T107" i="9"/>
  <c r="T43" i="9"/>
  <c r="C14" i="35" s="1"/>
  <c r="E14" i="35" s="1"/>
  <c r="T30" i="9"/>
  <c r="T102" i="9"/>
  <c r="T122" i="9"/>
  <c r="T58" i="9"/>
  <c r="T73" i="9"/>
  <c r="H19" i="36" s="1"/>
  <c r="J19" i="36" s="1"/>
  <c r="T80" i="9"/>
  <c r="T16" i="9"/>
  <c r="T95" i="9"/>
  <c r="T31" i="9"/>
  <c r="C12" i="35" s="1"/>
  <c r="E12" i="35" s="1"/>
  <c r="T61" i="9"/>
  <c r="C17" i="35" s="1"/>
  <c r="E17" i="35" s="1"/>
  <c r="T83" i="9"/>
  <c r="T38" i="9"/>
  <c r="T86" i="9"/>
  <c r="T116" i="9"/>
  <c r="T99" i="9"/>
  <c r="T117" i="9"/>
  <c r="T124" i="9"/>
  <c r="T9"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11" i="9"/>
  <c r="T37" i="9"/>
  <c r="V32" i="9" s="1"/>
  <c r="T35" i="9"/>
  <c r="T76" i="9"/>
  <c r="T19" i="9"/>
  <c r="V14" i="9" s="1"/>
  <c r="T77" i="9"/>
  <c r="T68" i="9"/>
  <c r="T98" i="9"/>
  <c r="T34" i="9"/>
  <c r="T113" i="9"/>
  <c r="T49" i="9"/>
  <c r="H15" i="36" s="1"/>
  <c r="J15" i="36" s="1"/>
  <c r="T120" i="9"/>
  <c r="T56" i="9"/>
  <c r="T12"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U37" i="9"/>
  <c r="W32" i="9" s="1"/>
  <c r="U35" i="9"/>
  <c r="U36" i="9"/>
  <c r="U32" i="9"/>
  <c r="U34" i="9"/>
  <c r="U33" i="9"/>
  <c r="I16" i="36"/>
  <c r="K16" i="36" s="1"/>
  <c r="D21" i="35"/>
  <c r="F21" i="35" s="1"/>
  <c r="D27" i="35"/>
  <c r="F27" i="35" s="1"/>
  <c r="W116" i="9"/>
  <c r="I27" i="36"/>
  <c r="K27" i="36" s="1"/>
  <c r="D19" i="35"/>
  <c r="F19" i="35"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W86" i="9"/>
  <c r="W44" i="9"/>
  <c r="D15" i="35"/>
  <c r="F15" i="35" s="1"/>
  <c r="I15" i="36"/>
  <c r="K15" i="36" s="1"/>
  <c r="I17" i="36"/>
  <c r="K17" i="36" s="1"/>
  <c r="D17" i="35"/>
  <c r="F17" i="35" s="1"/>
  <c r="W56" i="9"/>
  <c r="I21" i="36" l="1"/>
  <c r="K21" i="36" s="1"/>
  <c r="W62" i="9"/>
  <c r="W68" i="9"/>
  <c r="D16" i="35"/>
  <c r="F16" i="35" s="1"/>
  <c r="I22" i="36"/>
  <c r="K22" i="36" s="1"/>
  <c r="I18" i="36"/>
  <c r="K18" i="36" s="1"/>
  <c r="V38" i="9"/>
  <c r="I13" i="36"/>
  <c r="K13" i="36" s="1"/>
  <c r="E10" i="31"/>
  <c r="G10" i="36" s="1"/>
  <c r="E14" i="31"/>
  <c r="G14" i="36" s="1"/>
  <c r="D14" i="35"/>
  <c r="F14" i="35" s="1"/>
  <c r="W38" i="9"/>
  <c r="D13" i="35"/>
  <c r="F13" i="35" s="1"/>
  <c r="D9" i="35"/>
  <c r="I9" i="36" s="1"/>
  <c r="U28" i="9"/>
  <c r="U30" i="9"/>
  <c r="U31" i="9"/>
  <c r="U27" i="9"/>
  <c r="U29" i="9"/>
  <c r="U26" i="9"/>
  <c r="U14" i="9"/>
  <c r="U15" i="9"/>
  <c r="U17" i="9"/>
  <c r="U16" i="9"/>
  <c r="U18" i="9"/>
  <c r="U19" i="9"/>
  <c r="D10" i="35" s="1"/>
  <c r="F10" i="35" s="1"/>
  <c r="E11" i="31"/>
  <c r="G11" i="36" s="1"/>
  <c r="B16" i="33" s="1"/>
  <c r="K11" i="31"/>
  <c r="E12" i="37" s="1"/>
  <c r="J13" i="31"/>
  <c r="D14" i="37" s="1"/>
  <c r="M12" i="31"/>
  <c r="G13" i="37" s="1"/>
  <c r="I10" i="31"/>
  <c r="C11" i="37" s="1"/>
  <c r="M9" i="31"/>
  <c r="G10" i="37" s="1"/>
  <c r="J11" i="31"/>
  <c r="D12" i="37" s="1"/>
  <c r="J12" i="31"/>
  <c r="D13" i="37" s="1"/>
  <c r="I13" i="31"/>
  <c r="C14" i="37" s="1"/>
  <c r="I9" i="31"/>
  <c r="C10" i="37" s="1"/>
  <c r="L12" i="31"/>
  <c r="F13" i="37" s="1"/>
  <c r="K13" i="31"/>
  <c r="E14" i="37" s="1"/>
  <c r="J9" i="31"/>
  <c r="D10" i="37" s="1"/>
  <c r="L9" i="31"/>
  <c r="F10" i="37" s="1"/>
  <c r="I11" i="31"/>
  <c r="C12" i="37" s="1"/>
  <c r="M10" i="31"/>
  <c r="G11" i="37" s="1"/>
  <c r="I12" i="31"/>
  <c r="C13" i="37" s="1"/>
  <c r="K12" i="31"/>
  <c r="E13" i="37" s="1"/>
  <c r="J10" i="31"/>
  <c r="D11" i="37" s="1"/>
  <c r="K10" i="31"/>
  <c r="E11" i="37" s="1"/>
  <c r="K9" i="31"/>
  <c r="E10" i="37" s="1"/>
  <c r="L10" i="31"/>
  <c r="F11" i="37" s="1"/>
  <c r="L13" i="31"/>
  <c r="F14" i="37" s="1"/>
  <c r="M11" i="31"/>
  <c r="G12" i="37" s="1"/>
  <c r="M13" i="31"/>
  <c r="G14" i="37" s="1"/>
  <c r="L11" i="31"/>
  <c r="F12" i="37" s="1"/>
  <c r="B14" i="33"/>
  <c r="H14" i="36"/>
  <c r="J14" i="36" s="1"/>
  <c r="H26" i="36"/>
  <c r="J26" i="36" s="1"/>
  <c r="L26" i="36" s="1"/>
  <c r="N26" i="36" s="1"/>
  <c r="M26" i="36" s="1"/>
  <c r="P26" i="36" s="1"/>
  <c r="D11" i="35"/>
  <c r="F11" i="35" s="1"/>
  <c r="I11" i="36"/>
  <c r="K11" i="36" s="1"/>
  <c r="V74" i="9"/>
  <c r="H20" i="36"/>
  <c r="J20" i="36" s="1"/>
  <c r="L20" i="36" s="1"/>
  <c r="N20" i="36" s="1"/>
  <c r="M20" i="36" s="1"/>
  <c r="P20" i="36" s="1"/>
  <c r="H16" i="36"/>
  <c r="J16" i="36" s="1"/>
  <c r="L16" i="36" s="1"/>
  <c r="N16" i="36" s="1"/>
  <c r="M16" i="36" s="1"/>
  <c r="P16" i="36" s="1"/>
  <c r="C16" i="35"/>
  <c r="E16" i="35" s="1"/>
  <c r="G23" i="35"/>
  <c r="G22" i="35"/>
  <c r="G17" i="35"/>
  <c r="F9" i="36"/>
  <c r="H17" i="36"/>
  <c r="J17" i="36" s="1"/>
  <c r="L17" i="36" s="1"/>
  <c r="N17" i="36" s="1"/>
  <c r="M17" i="36" s="1"/>
  <c r="P17" i="36" s="1"/>
  <c r="G21" i="35"/>
  <c r="L19" i="36"/>
  <c r="N19" i="36" s="1"/>
  <c r="M19" i="36" s="1"/>
  <c r="P19" i="36" s="1"/>
  <c r="H24" i="36"/>
  <c r="J24" i="36" s="1"/>
  <c r="L24" i="36" s="1"/>
  <c r="N24" i="36" s="1"/>
  <c r="M24" i="36" s="1"/>
  <c r="P24" i="36" s="1"/>
  <c r="C27" i="35"/>
  <c r="E27" i="35" s="1"/>
  <c r="G27" i="35" s="1"/>
  <c r="C13" i="35"/>
  <c r="E13" i="35" s="1"/>
  <c r="C15" i="35"/>
  <c r="E15" i="35" s="1"/>
  <c r="G15" i="35" s="1"/>
  <c r="C9" i="35"/>
  <c r="H9" i="36" s="1"/>
  <c r="H13" i="36"/>
  <c r="J13" i="36" s="1"/>
  <c r="V44" i="9"/>
  <c r="H27" i="36"/>
  <c r="J27" i="36" s="1"/>
  <c r="L27" i="36" s="1"/>
  <c r="N27" i="36" s="1"/>
  <c r="M27" i="36" s="1"/>
  <c r="P27" i="36" s="1"/>
  <c r="C19" i="35"/>
  <c r="E19" i="35" s="1"/>
  <c r="G19" i="35" s="1"/>
  <c r="H21" i="36"/>
  <c r="J21" i="36" s="1"/>
  <c r="L21" i="36" s="1"/>
  <c r="N21" i="36" s="1"/>
  <c r="M21" i="36" s="1"/>
  <c r="P21" i="36" s="1"/>
  <c r="H22" i="36"/>
  <c r="J22" i="36" s="1"/>
  <c r="V56" i="9"/>
  <c r="V68" i="9"/>
  <c r="V80" i="9"/>
  <c r="C24" i="35"/>
  <c r="E24" i="35" s="1"/>
  <c r="G24" i="35" s="1"/>
  <c r="L18" i="36"/>
  <c r="N18" i="36" s="1"/>
  <c r="M18" i="36" s="1"/>
  <c r="P18" i="36" s="1"/>
  <c r="G14" i="35"/>
  <c r="G20" i="35"/>
  <c r="G16" i="35"/>
  <c r="L15" i="36"/>
  <c r="N15" i="36" s="1"/>
  <c r="M15" i="36" s="1"/>
  <c r="P15" i="36" s="1"/>
  <c r="L14" i="36"/>
  <c r="N14" i="36" s="1"/>
  <c r="M14" i="36" s="1"/>
  <c r="P14" i="36" s="1"/>
  <c r="G11" i="35"/>
  <c r="C26" i="35"/>
  <c r="E26" i="35" s="1"/>
  <c r="G26" i="35" s="1"/>
  <c r="V86" i="9"/>
  <c r="V122" i="9"/>
  <c r="C28" i="35"/>
  <c r="E28" i="35" s="1"/>
  <c r="G28" i="35" s="1"/>
  <c r="H28" i="36"/>
  <c r="J28" i="36" s="1"/>
  <c r="L28" i="36" s="1"/>
  <c r="N28" i="36" s="1"/>
  <c r="M28" i="36" s="1"/>
  <c r="P28" i="36" s="1"/>
  <c r="C25" i="35"/>
  <c r="E25" i="35" s="1"/>
  <c r="G25" i="35" s="1"/>
  <c r="V26" i="9"/>
  <c r="H12" i="36"/>
  <c r="J12" i="36" s="1"/>
  <c r="V62" i="9"/>
  <c r="C18" i="35"/>
  <c r="E18" i="35" s="1"/>
  <c r="G18" i="35" s="1"/>
  <c r="V92" i="9"/>
  <c r="H10" i="36"/>
  <c r="J10" i="36" s="1"/>
  <c r="H23" i="36"/>
  <c r="J23" i="36" s="1"/>
  <c r="L23" i="36" s="1"/>
  <c r="N23" i="36" s="1"/>
  <c r="M23" i="36" s="1"/>
  <c r="P23" i="36" s="1"/>
  <c r="C10" i="35"/>
  <c r="E10" i="35" s="1"/>
  <c r="V20" i="9"/>
  <c r="H11" i="36"/>
  <c r="J11" i="36" s="1"/>
  <c r="H25" i="36"/>
  <c r="J25" i="36" s="1"/>
  <c r="L25" i="36" s="1"/>
  <c r="N25" i="36" s="1"/>
  <c r="M25" i="36" s="1"/>
  <c r="P25" i="36" s="1"/>
  <c r="E9" i="35"/>
  <c r="B17" i="33" l="1"/>
  <c r="G13" i="35"/>
  <c r="L22" i="36"/>
  <c r="N22" i="36" s="1"/>
  <c r="M22" i="36" s="1"/>
  <c r="P22" i="36" s="1"/>
  <c r="L13" i="36"/>
  <c r="N13" i="36" s="1"/>
  <c r="M13" i="36" s="1"/>
  <c r="P13" i="36" s="1"/>
  <c r="G10" i="35"/>
  <c r="B15" i="33"/>
  <c r="B18" i="33" s="1"/>
  <c r="C18" i="33" s="1"/>
  <c r="F9" i="35"/>
  <c r="K9" i="36" s="1"/>
  <c r="I12" i="36"/>
  <c r="K12" i="36" s="1"/>
  <c r="L12" i="36" s="1"/>
  <c r="N12" i="36" s="1"/>
  <c r="M12" i="36" s="1"/>
  <c r="P12" i="36" s="1"/>
  <c r="W26" i="9"/>
  <c r="D12" i="35"/>
  <c r="F12" i="35" s="1"/>
  <c r="G12" i="35" s="1"/>
  <c r="I10" i="36"/>
  <c r="K10" i="36" s="1"/>
  <c r="L10" i="36" s="1"/>
  <c r="N10" i="36" s="1"/>
  <c r="M10" i="36" s="1"/>
  <c r="P10" i="36" s="1"/>
  <c r="W14" i="9"/>
  <c r="L11" i="36"/>
  <c r="N11" i="36" s="1"/>
  <c r="M11" i="36" s="1"/>
  <c r="P11" i="36" s="1"/>
  <c r="G9" i="35"/>
  <c r="L9" i="36" s="1"/>
  <c r="J9" i="36"/>
  <c r="M13" i="35" l="1"/>
  <c r="M14" i="37" s="1"/>
  <c r="L12" i="35"/>
  <c r="L13" i="37" s="1"/>
  <c r="L10" i="35"/>
  <c r="L11" i="37" s="1"/>
  <c r="M9" i="35"/>
  <c r="M10" i="37" s="1"/>
  <c r="O13" i="35"/>
  <c r="O14" i="37" s="1"/>
  <c r="K12" i="35"/>
  <c r="K13" i="37" s="1"/>
  <c r="K10" i="35"/>
  <c r="K11" i="37" s="1"/>
  <c r="O11" i="35"/>
  <c r="O12" i="37" s="1"/>
  <c r="L11" i="35"/>
  <c r="L12" i="37" s="1"/>
  <c r="N10" i="35"/>
  <c r="N11" i="37" s="1"/>
  <c r="M11" i="35"/>
  <c r="M12" i="37" s="1"/>
  <c r="L13" i="35"/>
  <c r="L14" i="37" s="1"/>
  <c r="N9" i="35"/>
  <c r="N10" i="37" s="1"/>
  <c r="L9" i="35"/>
  <c r="L10" i="37" s="1"/>
  <c r="N11" i="35"/>
  <c r="N12" i="37" s="1"/>
  <c r="M12" i="35"/>
  <c r="M13" i="37" s="1"/>
  <c r="O12" i="35"/>
  <c r="O13" i="37" s="1"/>
  <c r="N12" i="35"/>
  <c r="N13" i="37" s="1"/>
  <c r="O10" i="35"/>
  <c r="O11" i="37" s="1"/>
  <c r="K9" i="35"/>
  <c r="K10" i="37" s="1"/>
  <c r="O9" i="35"/>
  <c r="O10" i="37" s="1"/>
  <c r="M10" i="35"/>
  <c r="M11" i="37" s="1"/>
  <c r="N13" i="35"/>
  <c r="N14" i="37" s="1"/>
  <c r="K11" i="35"/>
  <c r="K12" i="37" s="1"/>
  <c r="K13" i="35"/>
  <c r="K14" i="37" s="1"/>
  <c r="C17" i="33"/>
  <c r="C14" i="33"/>
  <c r="C15" i="33"/>
  <c r="C16" i="33"/>
  <c r="B21" i="33"/>
  <c r="N9" i="36"/>
  <c r="M9" i="36" s="1"/>
  <c r="P9" i="36" s="1"/>
  <c r="D14" i="33"/>
  <c r="D16" i="33"/>
  <c r="D17" i="33"/>
  <c r="D15" i="33"/>
  <c r="D18" i="33" l="1"/>
  <c r="E18" i="33" s="1"/>
  <c r="D21" i="33" l="1"/>
  <c r="E14" i="33"/>
  <c r="E15" i="33"/>
  <c r="E17" i="33"/>
  <c r="E16" i="33"/>
</calcChain>
</file>

<file path=xl/sharedStrings.xml><?xml version="1.0" encoding="utf-8"?>
<sst xmlns="http://schemas.openxmlformats.org/spreadsheetml/2006/main" count="1609" uniqueCount="407">
  <si>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</si>
  <si>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</si>
  <si>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</si>
  <si>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</si>
  <si>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</si>
  <si>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</si>
  <si>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</si>
  <si>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</si>
  <si>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</si>
  <si>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</si>
  <si>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</si>
  <si>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</si>
  <si>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</si>
  <si>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</si>
  <si>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</si>
  <si>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</si>
  <si>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</si>
  <si>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</si>
  <si>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</si>
  <si>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</si>
  <si>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</si>
  <si>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</si>
  <si>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</si>
  <si>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</si>
  <si>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</si>
  <si>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</si>
  <si>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</si>
  <si>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</si>
  <si>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</si>
  <si>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</si>
  <si>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</si>
  <si>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</si>
  <si>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</si>
  <si>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</si>
  <si>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</si>
  <si>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</si>
  <si>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</si>
  <si>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</si>
  <si>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</si>
  <si>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</si>
  <si>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</si>
  <si>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</si>
  <si>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</si>
  <si>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</si>
  <si>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</si>
  <si>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</si>
  <si>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</si>
  <si>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</si>
  <si>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</si>
  <si>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</si>
  <si>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</si>
  <si>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</si>
  <si>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</si>
  <si>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</si>
  <si>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</si>
  <si>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</si>
  <si>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</si>
  <si>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</si>
  <si>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</si>
  <si>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</si>
  <si>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</si>
  <si>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</si>
  <si>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</si>
  <si>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</si>
  <si>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</si>
  <si>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</si>
  <si>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</si>
  <si>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</si>
  <si>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</si>
  <si>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</si>
  <si>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</si>
  <si>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</si>
  <si>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</si>
  <si>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</si>
  <si>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</si>
  <si>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</si>
  <si>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</si>
  <si>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</si>
  <si>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</si>
  <si>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</si>
  <si>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</si>
  <si>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</si>
  <si>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</si>
  <si>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</si>
  <si>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</si>
  <si>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</si>
  <si>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</si>
  <si>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</si>
  <si>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</si>
  <si>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</si>
  <si>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</si>
  <si>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</si>
  <si>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</si>
  <si>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</si>
  <si>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</si>
  <si>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</si>
  <si>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</si>
  <si>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</si>
  <si>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</si>
  <si>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</si>
  <si>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</si>
  <si>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</si>
  <si>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</si>
  <si>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</si>
  <si>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</si>
  <si>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</si>
  <si>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</si>
  <si>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</si>
  <si>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</si>
  <si>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</si>
  <si>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</si>
  <si>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</si>
  <si>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</si>
  <si>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</si>
  <si>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</si>
  <si>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</si>
  <si>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</si>
  <si>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</si>
  <si>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</si>
  <si>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</si>
  <si>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</si>
  <si>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</si>
  <si>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</si>
  <si>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</si>
  <si>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</si>
  <si>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</si>
  <si>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</si>
  <si>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</si>
  <si>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</si>
  <si>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</si>
  <si>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</si>
  <si>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</si>
  <si>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</si>
  <si>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</si>
  <si>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</si>
  <si>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</si>
  <si>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</si>
  <si>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</si>
  <si>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</si>
  <si>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</si>
  <si>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</si>
  <si>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</si>
  <si>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</si>
  <si>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</si>
  <si>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</si>
  <si>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</si>
  <si>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</si>
  <si>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</si>
  <si>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</si>
  <si>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</si>
  <si>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</si>
  <si>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</si>
  <si>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</si>
  <si>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</si>
  <si>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</si>
  <si>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</si>
  <si>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</si>
  <si>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</si>
  <si>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</si>
  <si>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</si>
  <si>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</si>
  <si>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</si>
  <si>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</si>
  <si>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</si>
  <si>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</si>
  <si>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</si>
  <si>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</si>
  <si>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</si>
  <si>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</si>
  <si>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</si>
  <si>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</si>
  <si>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</si>
  <si>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</si>
  <si>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</si>
  <si>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</si>
  <si>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</si>
  <si>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</si>
  <si>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</si>
  <si>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</si>
  <si>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</si>
  <si>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</si>
  <si>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</si>
  <si>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</si>
  <si>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</si>
  <si>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</si>
  <si>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</si>
  <si>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</si>
  <si>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</si>
  <si>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</si>
  <si>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</si>
  <si>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</si>
  <si>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</si>
  <si>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</si>
  <si>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</si>
  <si>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</si>
  <si>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</si>
  <si>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</si>
  <si>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</si>
  <si>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</si>
  <si>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</si>
  <si>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</si>
  <si>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</si>
  <si>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</si>
  <si>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</si>
  <si>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</si>
  <si>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</si>
  <si>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</si>
  <si>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</si>
  <si>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</si>
  <si>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</si>
  <si>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</si>
  <si>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</si>
  <si>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</si>
  <si>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</si>
  <si>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</si>
  <si>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</si>
  <si>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</si>
  <si>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</si>
  <si>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</si>
  <si>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</si>
  <si>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</si>
  <si>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</si>
  <si>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</si>
  <si>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</si>
  <si>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</si>
  <si>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</si>
  <si>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</si>
  <si>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</si>
  <si>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</si>
  <si>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</si>
  <si>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</si>
  <si>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</si>
  <si>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</si>
  <si>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</si>
  <si>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</si>
  <si>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</si>
  <si>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</si>
  <si>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</si>
  <si>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</si>
  <si>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</si>
  <si>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</si>
  <si>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</si>
  <si>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</si>
  <si>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</si>
  <si>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</si>
  <si>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</si>
  <si>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</si>
  <si>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</si>
  <si>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</si>
  <si>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</si>
  <si>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</si>
  <si>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</si>
  <si>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</si>
  <si>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</si>
  <si>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</si>
  <si>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</si>
  <si>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</si>
  <si>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</si>
  <si>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</si>
  <si>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</si>
  <si>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</si>
  <si>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</si>
  <si>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</si>
  <si>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</si>
  <si>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</si>
  <si>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</si>
  <si>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</si>
  <si>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</si>
  <si>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</si>
  <si>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</si>
  <si>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</si>
  <si>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</si>
  <si>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</si>
  <si>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</si>
  <si>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</si>
  <si>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</si>
  <si>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</si>
  <si>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</si>
  <si>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</si>
  <si>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</si>
  <si>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</si>
  <si>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</si>
  <si>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</si>
  <si>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</si>
  <si>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</si>
  <si>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</si>
  <si>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</si>
  <si>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</si>
  <si>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</si>
  <si>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</si>
  <si>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</si>
  <si>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</si>
  <si>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</si>
  <si>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</si>
  <si>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</si>
  <si>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</si>
  <si>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</si>
  <si>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</si>
  <si>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</si>
  <si>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</si>
  <si>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</si>
  <si>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</si>
  <si>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</si>
  <si>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</si>
  <si>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</si>
  <si>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</si>
  <si>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</si>
  <si>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</si>
  <si>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</si>
  <si>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</si>
  <si>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</si>
  <si>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</si>
  <si>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</si>
  <si>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</si>
  <si>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</si>
  <si>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</si>
  <si>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</si>
  <si>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</si>
  <si>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</si>
  <si>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</si>
  <si>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</si>
  <si>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</si>
  <si>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</si>
  <si>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</si>
  <si>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</si>
  <si>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</si>
  <si>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</si>
  <si>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</si>
  <si>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</si>
  <si>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</si>
  <si>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</si>
  <si>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</si>
  <si>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</si>
  <si>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</si>
  <si>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</si>
  <si>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</si>
  <si>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</si>
  <si>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</si>
  <si>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</si>
  <si>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</si>
  <si>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</si>
  <si>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</si>
  <si>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</si>
  <si>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</si>
  <si>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</si>
  <si>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</si>
  <si>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</si>
  <si>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</si>
  <si>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</si>
  <si>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</si>
  <si>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</si>
  <si>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</si>
  <si>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</si>
  <si>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</si>
  <si>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</si>
  <si>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</si>
  <si>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</si>
  <si>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</si>
  <si>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</si>
  <si>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</si>
  <si>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</si>
  <si>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</si>
  <si>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</si>
  <si>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</si>
  <si>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</si>
  <si>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</si>
  <si>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</si>
  <si>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</si>
  <si>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</si>
  <si>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</si>
  <si>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</si>
  <si>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</si>
  <si>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</si>
  <si>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</si>
  <si>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</si>
  <si>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</si>
  <si>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</si>
  <si>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</si>
  <si>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</si>
  <si>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El líder del Sistema de Gestión de Seguridad y Salud en el Trabajo</t>
  </si>
  <si>
    <t>Se realiza la actualización de los riesgos del proceso PLES, conforme a los lineamientos y al riesgo emitido por Función Pública, incluyendo la definición del impacto, la causa inmediata y la causa raíz, de acuerdo con lo establecido en la versión 7 de la Guía para la Administración</t>
  </si>
  <si>
    <t>la falta de control en el prestamo y custadia de las Historias Laborales.</t>
  </si>
  <si>
    <t xml:space="preserve"> acceso indebido a la información reservada y clasificada de los servidores y exservidores de la Entidad</t>
  </si>
  <si>
    <t>custodia el acceso a los expedientes de las historias laborales a través del diligenciamiento del formato de control</t>
  </si>
  <si>
    <t xml:space="preserve">gestiona el préstamo documental a través del diligenciamiento del formato </t>
  </si>
  <si>
    <t xml:space="preserve">con la información suministrada por el interesado, asi mismo, valida la motivación de la solicitud de acceso al expediente. En caso de no contar con justificación sufiente (aplica para personal diferente al titular o personal que no hace parte de GTH) negar el acceso a la documentación. </t>
  </si>
  <si>
    <t>llevando el control de los expedientes en prestamo. En caso de pérdida o daño documental se realiza el requerimiento formal al solicitante y se reporta a control interno disciplinario para realizar la investigación correspondiente.</t>
  </si>
  <si>
    <t xml:space="preserve"> inconsistencias en el calculo, liquidación y pago de la nómina y la seguridad social</t>
  </si>
  <si>
    <t>la no inclusión de novedades generadas.</t>
  </si>
  <si>
    <t>Coordinador del GIT Talento Humano</t>
  </si>
  <si>
    <t>y en caso de identificar desviaciones devuelve la prenómina solicitando la validación.
Una vez aplicada la novedad el coordinador verifica nuevamente los archivos de la prenómina hasta que evidencie la inclusión del total de las novedades.</t>
  </si>
  <si>
    <t>valida que las novedades generadas en el mes se encuentren aplicadas en los archivos de la prenómina</t>
  </si>
  <si>
    <t xml:space="preserve"> no gestionar el cobro de las incapacidades de manera oportuna</t>
  </si>
  <si>
    <t>deficiencias en el seguimiento al tramite ante las EPS</t>
  </si>
  <si>
    <t>El Auxiliar Administrativo GITH</t>
  </si>
  <si>
    <t>Profesional GITH</t>
  </si>
  <si>
    <t>teniendo como insumo la documentación remitida por el aspirante.
En caso de que el aspirante no cumpla con el perfil se informa a al Coordinador del GITH.</t>
  </si>
  <si>
    <t xml:space="preserve"> vincular en la planta de personal o inscribir como liquidadores, agentes especiales, contralores o revisores fiscales, a aspirantes sin el cumplimiento de los requisitos</t>
  </si>
  <si>
    <t>de manera mensual, como evidencia quedará la matriz de seguimiento de incapacidades.</t>
  </si>
  <si>
    <t>falta de seguimiento al cumplimiento de las tareas programadas.</t>
  </si>
  <si>
    <t xml:space="preserve"> incumplimiento en la realización de las actividades del Plan Anual de trabajo de SG-SST</t>
  </si>
  <si>
    <t>realiza el seguimiento de la ejecución de las actividades establecidas en el Plan Anual de trabajo de SG-SST</t>
  </si>
  <si>
    <t>de manera mensual registrando el avance en la matriz de seguimiento al cumplimiento de indicadores SG-SST.
En caso de evidenciar alteraciones se informa en el Comité Institucional de Gestión y Desempeño para revision por parte de la Alta Gerencia.</t>
  </si>
  <si>
    <t>la falta de verficación de los soportes presentados por los aspirantes.</t>
  </si>
  <si>
    <t>Profesional Especializado GITH</t>
  </si>
  <si>
    <t xml:space="preserve">valida que la información registrada en el formato de verificación de requisitos cumpla con lo establecido en el Decreto 1083 de 2015, el manual de funciones y compentencias laborales de la Entidad o la Circular Básica Jurídica de la Superintendencia de la Economía Solidaria (según sea el caso) </t>
  </si>
  <si>
    <t>realiza el seguimiento permanente del cobro, conciliación y pago de las incapacidades de los funcionarios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</si>
</sst>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77">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11"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65" xfId="2" applyFont="1" applyBorder="1" applyAlignment="1">
      <alignment horizontal="center" vertical="center" wrapText="1"/>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12" fillId="0" borderId="8" xfId="2" applyFont="1" applyBorder="1" applyAlignment="1">
      <alignment vertical="center" wrapText="1"/>
    </xf>
    <xf numFmtId="0" fontId="12" fillId="0" borderId="19" xfId="2" applyFont="1" applyBorder="1" applyAlignment="1">
      <alignment vertical="center" wrapText="1"/>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4" fillId="0" borderId="1" xfId="2" applyFont="1" applyBorder="1" applyAlignment="1" applyProtection="1">
      <alignment horizontal="justify" vertical="center" wrapText="1"/>
    </xf>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4" fillId="3" borderId="6"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6" fillId="0" borderId="1" xfId="2" applyFont="1" applyBorder="1" applyAlignment="1" applyProtection="1">
      <alignment horizontal="center" vertical="center" wrapText="1"/>
      <protection locked="0"/>
    </xf>
    <xf numFmtId="0" fontId="4" fillId="0" borderId="8" xfId="2" applyFont="1" applyBorder="1" applyAlignment="1" applyProtection="1">
      <alignment horizontal="justify" vertical="center" wrapText="1"/>
    </xf>
    <xf numFmtId="0" fontId="6" fillId="3" borderId="1" xfId="0" applyFont="1" applyFill="1" applyBorder="1" applyAlignment="1" applyProtection="1">
      <alignment horizontal="left" vertical="center" wrapText="1"/>
    </xf>
    <xf numFmtId="0" fontId="4" fillId="0" borderId="1" xfId="2" applyFont="1" applyBorder="1" applyAlignment="1" applyProtection="1">
      <alignment horizontal="justify" vertical="top" wrapText="1"/>
    </xf>
    <xf numFmtId="0" fontId="4" fillId="0" borderId="0" xfId="2" applyFont="1" applyAlignment="1" applyProtection="1">
      <alignment horizontal="justify" vertical="top"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11" borderId="47"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43" fillId="4" borderId="59"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3" fillId="4" borderId="70"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55"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43" fillId="4" borderId="51" xfId="5" applyFont="1" applyFill="1" applyBorder="1" applyAlignment="1">
      <alignment horizontal="left" vertical="top" wrapText="1" readingOrder="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9" fontId="24" fillId="0" borderId="6"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133</xdr:row>
      <xdr:rowOff>41458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462067</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28</xdr:col>
      <xdr:colOff>207168</xdr:colOff>
      <xdr:row>29</xdr:row>
      <xdr:rowOff>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32</xdr:col>
      <xdr:colOff>889000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22" zoomScale="90" zoomScaleNormal="90" workbookViewId="0">
      <selection activeCell="D18" sqref="D18"/>
    </sheetView>
  </sheetViews>
  <sheetFormatPr baseColWidth="10" defaultColWidth="0" defaultRowHeight="15" zeroHeight="1" x14ac:dyDescent="0.25"/>
  <cols>
    <col min="1" max="1" width="2.85546875" style="262" customWidth="1"/>
    <col min="2" max="3" width="24.42578125" style="262" customWidth="1"/>
    <col min="4" max="4" width="16" style="262" customWidth="1"/>
    <col min="5" max="5" width="24.42578125" style="262" customWidth="1"/>
    <col min="6" max="6" width="27.42578125" style="262" customWidth="1"/>
    <col min="7" max="8" width="24.42578125" style="262" customWidth="1"/>
    <col min="9" max="9" width="4.28515625" style="262" customWidth="1"/>
    <col min="10" max="16384" width="11.42578125" style="262" hidden="1"/>
  </cols>
  <sheetData>
    <row r="1" spans="2:8" ht="15.75" thickBot="1" x14ac:dyDescent="0.3"/>
    <row r="2" spans="2:8" ht="18" x14ac:dyDescent="0.25">
      <c r="B2" s="414" t="s">
        <v>0</v>
      </c>
      <c r="C2" s="415"/>
      <c r="D2" s="415"/>
      <c r="E2" s="415"/>
      <c r="F2" s="415"/>
      <c r="G2" s="415"/>
      <c r="H2" s="416"/>
    </row>
    <row r="3" spans="2:8" x14ac:dyDescent="0.25">
      <c r="B3" s="263"/>
      <c r="C3" s="264"/>
      <c r="D3" s="264"/>
      <c r="E3" s="264"/>
      <c r="F3" s="264"/>
      <c r="G3" s="264"/>
      <c r="H3" s="265"/>
    </row>
    <row r="4" spans="2:8" ht="63" customHeight="1" x14ac:dyDescent="0.25">
      <c r="B4" s="417" t="s">
        <v>1</v>
      </c>
      <c r="C4" s="418"/>
      <c r="D4" s="418"/>
      <c r="E4" s="418"/>
      <c r="F4" s="418"/>
      <c r="G4" s="418"/>
      <c r="H4" s="419"/>
    </row>
    <row r="5" spans="2:8" ht="63" customHeight="1" x14ac:dyDescent="0.25">
      <c r="B5" s="420"/>
      <c r="C5" s="421"/>
      <c r="D5" s="421"/>
      <c r="E5" s="421"/>
      <c r="F5" s="421"/>
      <c r="G5" s="421"/>
      <c r="H5" s="422"/>
    </row>
    <row r="6" spans="2:8" ht="16.5" x14ac:dyDescent="0.25">
      <c r="B6" s="407" t="s">
        <v>2</v>
      </c>
      <c r="C6" s="423"/>
      <c r="D6" s="423"/>
      <c r="E6" s="423"/>
      <c r="F6" s="423"/>
      <c r="G6" s="423"/>
      <c r="H6" s="424"/>
    </row>
    <row r="7" spans="2:8" ht="95.25" customHeight="1" x14ac:dyDescent="0.25">
      <c r="B7" s="425" t="s">
        <v>3</v>
      </c>
      <c r="C7" s="426"/>
      <c r="D7" s="426"/>
      <c r="E7" s="426"/>
      <c r="F7" s="426"/>
      <c r="G7" s="426"/>
      <c r="H7" s="427"/>
    </row>
    <row r="8" spans="2:8" ht="16.5" x14ac:dyDescent="0.25">
      <c r="B8" s="242"/>
      <c r="C8" s="243"/>
      <c r="D8" s="243"/>
      <c r="E8" s="243"/>
      <c r="F8" s="243"/>
      <c r="G8" s="243"/>
      <c r="H8" s="244"/>
    </row>
    <row r="9" spans="2:8" ht="20.45" customHeight="1" x14ac:dyDescent="0.25">
      <c r="B9" s="429" t="s">
        <v>4</v>
      </c>
      <c r="C9" s="430"/>
      <c r="D9" s="430"/>
      <c r="E9" s="430"/>
      <c r="F9" s="430"/>
      <c r="G9" s="430"/>
      <c r="H9" s="431"/>
    </row>
    <row r="10" spans="2:8" ht="16.5" x14ac:dyDescent="0.25">
      <c r="B10" s="248"/>
      <c r="C10" s="249"/>
      <c r="D10" s="249"/>
      <c r="E10" s="249"/>
      <c r="F10" s="249"/>
      <c r="G10" s="249"/>
      <c r="H10" s="250"/>
    </row>
    <row r="11" spans="2:8" ht="20.45" customHeight="1" x14ac:dyDescent="0.25">
      <c r="B11" s="432" t="s">
        <v>5</v>
      </c>
      <c r="C11" s="433"/>
      <c r="D11" s="433"/>
      <c r="E11" s="433"/>
      <c r="F11" s="433"/>
      <c r="G11" s="433"/>
      <c r="H11" s="434"/>
    </row>
    <row r="12" spans="2:8" s="284" customFormat="1" ht="20.45" customHeight="1" x14ac:dyDescent="0.25">
      <c r="B12" s="373"/>
      <c r="C12" s="374"/>
      <c r="D12" s="374"/>
      <c r="E12" s="374"/>
      <c r="F12" s="374"/>
      <c r="G12" s="374"/>
      <c r="H12" s="375"/>
    </row>
    <row r="13" spans="2:8" ht="20.45" customHeight="1" x14ac:dyDescent="0.25">
      <c r="B13" s="407" t="s">
        <v>6</v>
      </c>
      <c r="C13" s="408"/>
      <c r="D13" s="408"/>
      <c r="E13" s="408"/>
      <c r="F13" s="408"/>
      <c r="G13" s="408"/>
      <c r="H13" s="409"/>
    </row>
    <row r="14" spans="2:8" ht="9" customHeight="1" x14ac:dyDescent="0.25">
      <c r="B14" s="407"/>
      <c r="C14" s="408"/>
      <c r="D14" s="408"/>
      <c r="E14" s="408"/>
      <c r="F14" s="408"/>
      <c r="G14" s="408"/>
      <c r="H14" s="409"/>
    </row>
    <row r="15" spans="2:8" ht="16.5" x14ac:dyDescent="0.25">
      <c r="B15" s="407" t="s">
        <v>7</v>
      </c>
      <c r="C15" s="408"/>
      <c r="D15" s="408"/>
      <c r="E15" s="408"/>
      <c r="F15" s="408"/>
      <c r="G15" s="408"/>
      <c r="H15" s="409"/>
    </row>
    <row r="16" spans="2:8" ht="16.5" x14ac:dyDescent="0.25">
      <c r="B16" s="245"/>
      <c r="C16" s="246"/>
      <c r="D16" s="246"/>
      <c r="E16" s="246"/>
      <c r="F16" s="246"/>
      <c r="G16" s="246"/>
      <c r="H16" s="247"/>
    </row>
    <row r="17" spans="2:8" ht="18.75" customHeight="1" x14ac:dyDescent="0.25">
      <c r="B17" s="407" t="s">
        <v>8</v>
      </c>
      <c r="C17" s="408"/>
      <c r="D17" s="408"/>
      <c r="E17" s="408"/>
      <c r="F17" s="408"/>
      <c r="G17" s="408"/>
      <c r="H17" s="409"/>
    </row>
    <row r="18" spans="2:8" ht="18.75" customHeight="1" x14ac:dyDescent="0.25">
      <c r="B18" s="245"/>
      <c r="C18" s="246"/>
      <c r="D18" s="246"/>
      <c r="E18" s="246"/>
      <c r="F18" s="246"/>
      <c r="G18" s="246"/>
      <c r="H18" s="247"/>
    </row>
    <row r="19" spans="2:8" ht="18.75" customHeight="1" x14ac:dyDescent="0.25">
      <c r="B19" s="407" t="s">
        <v>9</v>
      </c>
      <c r="C19" s="408"/>
      <c r="D19" s="408"/>
      <c r="E19" s="408"/>
      <c r="F19" s="408"/>
      <c r="G19" s="408"/>
      <c r="H19" s="409"/>
    </row>
    <row r="20" spans="2:8" ht="18.75" customHeight="1" thickBot="1" x14ac:dyDescent="0.3">
      <c r="B20" s="191"/>
      <c r="C20" s="251"/>
      <c r="D20" s="251"/>
      <c r="E20" s="251"/>
      <c r="F20" s="251"/>
      <c r="G20" s="251"/>
      <c r="H20" s="252"/>
    </row>
    <row r="21" spans="2:8" ht="15.75" thickTop="1" x14ac:dyDescent="0.25">
      <c r="B21" s="266"/>
      <c r="C21" s="399" t="s">
        <v>10</v>
      </c>
      <c r="D21" s="400"/>
      <c r="E21" s="401" t="s">
        <v>11</v>
      </c>
      <c r="F21" s="402"/>
      <c r="G21" s="271"/>
      <c r="H21" s="267"/>
    </row>
    <row r="22" spans="2:8" ht="35.25" customHeight="1" x14ac:dyDescent="0.25">
      <c r="B22" s="266"/>
      <c r="C22" s="403" t="s">
        <v>12</v>
      </c>
      <c r="D22" s="389"/>
      <c r="E22" s="390" t="s">
        <v>13</v>
      </c>
      <c r="F22" s="391"/>
      <c r="G22" s="271"/>
      <c r="H22" s="267"/>
    </row>
    <row r="23" spans="2:8" ht="17.25" customHeight="1" x14ac:dyDescent="0.25">
      <c r="B23" s="266"/>
      <c r="C23" s="403" t="s">
        <v>14</v>
      </c>
      <c r="D23" s="389"/>
      <c r="E23" s="390" t="s">
        <v>15</v>
      </c>
      <c r="F23" s="391"/>
      <c r="G23" s="271"/>
      <c r="H23" s="267"/>
    </row>
    <row r="24" spans="2:8" ht="69.75" customHeight="1" x14ac:dyDescent="0.25">
      <c r="B24" s="266"/>
      <c r="C24" s="403" t="s">
        <v>16</v>
      </c>
      <c r="D24" s="389"/>
      <c r="E24" s="390" t="s">
        <v>17</v>
      </c>
      <c r="F24" s="391"/>
      <c r="G24" s="271"/>
      <c r="H24" s="267"/>
    </row>
    <row r="25" spans="2:8" ht="69.75" customHeight="1" x14ac:dyDescent="0.25">
      <c r="B25" s="266"/>
      <c r="C25" s="403" t="s">
        <v>18</v>
      </c>
      <c r="D25" s="389"/>
      <c r="E25" s="390" t="s">
        <v>19</v>
      </c>
      <c r="F25" s="391"/>
      <c r="G25" s="271"/>
      <c r="H25" s="267"/>
    </row>
    <row r="26" spans="2:8" ht="69.75" customHeight="1" x14ac:dyDescent="0.25">
      <c r="B26" s="266"/>
      <c r="C26" s="403" t="s">
        <v>20</v>
      </c>
      <c r="D26" s="389"/>
      <c r="E26" s="390" t="s">
        <v>21</v>
      </c>
      <c r="F26" s="391"/>
      <c r="G26" s="271"/>
      <c r="H26" s="267"/>
    </row>
    <row r="27" spans="2:8" ht="69.75" customHeight="1" x14ac:dyDescent="0.25">
      <c r="B27" s="266"/>
      <c r="C27" s="395" t="s">
        <v>22</v>
      </c>
      <c r="D27" s="387"/>
      <c r="E27" s="380" t="s">
        <v>23</v>
      </c>
      <c r="F27" s="381"/>
      <c r="G27" s="271"/>
      <c r="H27" s="267"/>
    </row>
    <row r="28" spans="2:8" ht="69.75" customHeight="1" x14ac:dyDescent="0.25">
      <c r="B28" s="266"/>
      <c r="C28" s="395" t="s">
        <v>24</v>
      </c>
      <c r="D28" s="387"/>
      <c r="E28" s="380" t="s">
        <v>25</v>
      </c>
      <c r="F28" s="381"/>
      <c r="G28" s="271"/>
      <c r="H28" s="267"/>
    </row>
    <row r="29" spans="2:8" ht="69.75" customHeight="1" x14ac:dyDescent="0.25">
      <c r="B29" s="266"/>
      <c r="C29" s="395" t="s">
        <v>26</v>
      </c>
      <c r="D29" s="387"/>
      <c r="E29" s="380" t="s">
        <v>27</v>
      </c>
      <c r="F29" s="381"/>
      <c r="G29" s="271"/>
      <c r="H29" s="267"/>
    </row>
    <row r="30" spans="2:8" ht="111.75" customHeight="1" x14ac:dyDescent="0.25">
      <c r="B30" s="266"/>
      <c r="C30" s="395" t="s">
        <v>28</v>
      </c>
      <c r="D30" s="387"/>
      <c r="E30" s="380" t="s">
        <v>29</v>
      </c>
      <c r="F30" s="381"/>
      <c r="G30" s="271"/>
      <c r="H30" s="267"/>
    </row>
    <row r="31" spans="2:8" ht="121.5" customHeight="1" x14ac:dyDescent="0.25">
      <c r="B31" s="266"/>
      <c r="C31" s="395" t="s">
        <v>30</v>
      </c>
      <c r="D31" s="387"/>
      <c r="E31" s="380" t="s">
        <v>31</v>
      </c>
      <c r="F31" s="381"/>
      <c r="G31" s="271"/>
      <c r="H31" s="267"/>
    </row>
    <row r="32" spans="2:8" ht="86.25" customHeight="1" x14ac:dyDescent="0.25">
      <c r="B32" s="266"/>
      <c r="C32" s="395" t="s">
        <v>32</v>
      </c>
      <c r="D32" s="387"/>
      <c r="E32" s="380" t="s">
        <v>33</v>
      </c>
      <c r="F32" s="381"/>
      <c r="G32" s="271"/>
      <c r="H32" s="267"/>
    </row>
    <row r="33" spans="2:8" ht="69.75" customHeight="1" x14ac:dyDescent="0.25">
      <c r="B33" s="266"/>
      <c r="C33" s="395" t="s">
        <v>34</v>
      </c>
      <c r="D33" s="387"/>
      <c r="E33" s="380" t="s">
        <v>35</v>
      </c>
      <c r="F33" s="381"/>
      <c r="G33" s="271"/>
      <c r="H33" s="267"/>
    </row>
    <row r="34" spans="2:8" x14ac:dyDescent="0.25">
      <c r="B34" s="266"/>
      <c r="C34" s="256"/>
      <c r="D34" s="256"/>
      <c r="E34" s="257"/>
      <c r="F34" s="257"/>
      <c r="G34" s="271"/>
      <c r="H34" s="267"/>
    </row>
    <row r="35" spans="2:8" ht="16.5" x14ac:dyDescent="0.25">
      <c r="B35" s="407" t="s">
        <v>36</v>
      </c>
      <c r="C35" s="408"/>
      <c r="D35" s="408"/>
      <c r="E35" s="408"/>
      <c r="F35" s="408"/>
      <c r="G35" s="408"/>
      <c r="H35" s="409"/>
    </row>
    <row r="36" spans="2:8" ht="14.45" customHeight="1" thickBot="1" x14ac:dyDescent="0.3">
      <c r="B36" s="272"/>
      <c r="C36" s="261"/>
      <c r="D36" s="261"/>
      <c r="E36" s="261"/>
      <c r="F36" s="261"/>
      <c r="G36" s="261"/>
      <c r="H36" s="273"/>
    </row>
    <row r="37" spans="2:8" ht="14.45" customHeight="1" thickTop="1" x14ac:dyDescent="0.25">
      <c r="B37" s="272"/>
      <c r="C37" s="382" t="s">
        <v>10</v>
      </c>
      <c r="D37" s="383"/>
      <c r="E37" s="384" t="s">
        <v>11</v>
      </c>
      <c r="F37" s="385"/>
      <c r="G37" s="261"/>
      <c r="H37" s="273"/>
    </row>
    <row r="38" spans="2:8" ht="90" customHeight="1" x14ac:dyDescent="0.25">
      <c r="B38" s="272"/>
      <c r="C38" s="395" t="s">
        <v>37</v>
      </c>
      <c r="D38" s="387"/>
      <c r="E38" s="380" t="s">
        <v>38</v>
      </c>
      <c r="F38" s="381"/>
      <c r="G38" s="261"/>
      <c r="H38" s="273"/>
    </row>
    <row r="39" spans="2:8" ht="53.45" customHeight="1" x14ac:dyDescent="0.25">
      <c r="B39" s="272"/>
      <c r="C39" s="395" t="s">
        <v>39</v>
      </c>
      <c r="D39" s="387"/>
      <c r="E39" s="380" t="s">
        <v>40</v>
      </c>
      <c r="F39" s="381"/>
      <c r="G39" s="261"/>
      <c r="H39" s="273"/>
    </row>
    <row r="40" spans="2:8" ht="54" customHeight="1" x14ac:dyDescent="0.25">
      <c r="B40" s="272"/>
      <c r="C40" s="395" t="s">
        <v>41</v>
      </c>
      <c r="D40" s="387"/>
      <c r="E40" s="380" t="s">
        <v>42</v>
      </c>
      <c r="F40" s="381"/>
      <c r="G40" s="261"/>
      <c r="H40" s="273"/>
    </row>
    <row r="41" spans="2:8" ht="32.450000000000003" customHeight="1" x14ac:dyDescent="0.25">
      <c r="B41" s="272"/>
      <c r="C41" s="395" t="s">
        <v>43</v>
      </c>
      <c r="D41" s="387"/>
      <c r="E41" s="380" t="s">
        <v>44</v>
      </c>
      <c r="F41" s="381"/>
      <c r="G41" s="261"/>
      <c r="H41" s="273"/>
    </row>
    <row r="42" spans="2:8" ht="16.5" x14ac:dyDescent="0.25">
      <c r="B42" s="272"/>
      <c r="C42" s="261"/>
      <c r="D42" s="261"/>
      <c r="E42" s="261"/>
      <c r="F42" s="261"/>
      <c r="G42" s="261"/>
      <c r="H42" s="273"/>
    </row>
    <row r="43" spans="2:8" ht="18.75" customHeight="1" x14ac:dyDescent="0.25">
      <c r="B43" s="396" t="s">
        <v>45</v>
      </c>
      <c r="C43" s="397"/>
      <c r="D43" s="397"/>
      <c r="E43" s="397"/>
      <c r="F43" s="397"/>
      <c r="G43" s="397"/>
      <c r="H43" s="398"/>
    </row>
    <row r="44" spans="2:8" ht="18.75" customHeight="1" x14ac:dyDescent="0.25">
      <c r="B44" s="258"/>
      <c r="C44" s="259"/>
      <c r="D44" s="259"/>
      <c r="E44" s="259"/>
      <c r="F44" s="259"/>
      <c r="G44" s="259"/>
      <c r="H44" s="260"/>
    </row>
    <row r="45" spans="2:8" ht="18.75" customHeight="1" x14ac:dyDescent="0.25">
      <c r="B45" s="407" t="s">
        <v>46</v>
      </c>
      <c r="C45" s="408"/>
      <c r="D45" s="408"/>
      <c r="E45" s="408"/>
      <c r="F45" s="408"/>
      <c r="G45" s="408"/>
      <c r="H45" s="409"/>
    </row>
    <row r="46" spans="2:8" ht="18.75" customHeight="1" thickBot="1" x14ac:dyDescent="0.3">
      <c r="B46" s="191"/>
      <c r="C46" s="251"/>
      <c r="D46" s="251"/>
      <c r="E46" s="251"/>
      <c r="F46" s="251"/>
      <c r="G46" s="251"/>
      <c r="H46" s="252"/>
    </row>
    <row r="47" spans="2:8" ht="18.75" customHeight="1" thickTop="1" x14ac:dyDescent="0.25">
      <c r="B47" s="191"/>
      <c r="C47" s="382" t="s">
        <v>10</v>
      </c>
      <c r="D47" s="383"/>
      <c r="E47" s="384" t="s">
        <v>11</v>
      </c>
      <c r="F47" s="385"/>
      <c r="G47" s="251"/>
      <c r="H47" s="252"/>
    </row>
    <row r="48" spans="2:8" ht="53.25" customHeight="1" x14ac:dyDescent="0.25">
      <c r="B48" s="191"/>
      <c r="C48" s="386" t="s">
        <v>47</v>
      </c>
      <c r="D48" s="379"/>
      <c r="E48" s="380" t="s">
        <v>48</v>
      </c>
      <c r="F48" s="381"/>
      <c r="G48" s="251"/>
      <c r="H48" s="252"/>
    </row>
    <row r="49" spans="2:8" ht="54" customHeight="1" x14ac:dyDescent="0.25">
      <c r="B49" s="191"/>
      <c r="C49" s="386" t="s">
        <v>49</v>
      </c>
      <c r="D49" s="379"/>
      <c r="E49" s="380" t="s">
        <v>50</v>
      </c>
      <c r="F49" s="381"/>
      <c r="G49" s="251"/>
      <c r="H49" s="252"/>
    </row>
    <row r="50" spans="2:8" ht="51.95" customHeight="1" x14ac:dyDescent="0.25">
      <c r="B50" s="191"/>
      <c r="C50" s="386" t="s">
        <v>51</v>
      </c>
      <c r="D50" s="379"/>
      <c r="E50" s="380" t="s">
        <v>52</v>
      </c>
      <c r="F50" s="381"/>
      <c r="G50" s="251"/>
      <c r="H50" s="252"/>
    </row>
    <row r="51" spans="2:8" ht="53.45" customHeight="1" x14ac:dyDescent="0.25">
      <c r="B51" s="191"/>
      <c r="C51" s="386" t="s">
        <v>53</v>
      </c>
      <c r="D51" s="379"/>
      <c r="E51" s="380" t="s">
        <v>52</v>
      </c>
      <c r="F51" s="381"/>
      <c r="G51" s="251"/>
      <c r="H51" s="252"/>
    </row>
    <row r="52" spans="2:8" ht="48.75" customHeight="1" x14ac:dyDescent="0.25">
      <c r="B52" s="191"/>
      <c r="C52" s="386" t="s">
        <v>54</v>
      </c>
      <c r="D52" s="379"/>
      <c r="E52" s="380" t="s">
        <v>55</v>
      </c>
      <c r="F52" s="381"/>
      <c r="G52" s="251"/>
      <c r="H52" s="252"/>
    </row>
    <row r="53" spans="2:8" ht="49.5" customHeight="1" x14ac:dyDescent="0.25">
      <c r="B53" s="191"/>
      <c r="C53" s="386" t="s">
        <v>56</v>
      </c>
      <c r="D53" s="379"/>
      <c r="E53" s="380" t="s">
        <v>57</v>
      </c>
      <c r="F53" s="381"/>
      <c r="G53" s="251"/>
      <c r="H53" s="252"/>
    </row>
    <row r="54" spans="2:8" ht="50.25" customHeight="1" x14ac:dyDescent="0.25">
      <c r="B54" s="191"/>
      <c r="C54" s="386" t="s">
        <v>58</v>
      </c>
      <c r="D54" s="379"/>
      <c r="E54" s="380" t="s">
        <v>59</v>
      </c>
      <c r="F54" s="381"/>
      <c r="G54" s="251"/>
      <c r="H54" s="252"/>
    </row>
    <row r="55" spans="2:8" ht="29.45" customHeight="1" x14ac:dyDescent="0.25">
      <c r="B55" s="191"/>
      <c r="C55" s="386" t="s">
        <v>60</v>
      </c>
      <c r="D55" s="379"/>
      <c r="E55" s="380" t="s">
        <v>61</v>
      </c>
      <c r="F55" s="381"/>
      <c r="G55" s="251"/>
      <c r="H55" s="252"/>
    </row>
    <row r="56" spans="2:8" ht="39.950000000000003" customHeight="1" x14ac:dyDescent="0.25">
      <c r="B56" s="191"/>
      <c r="C56" s="386" t="s">
        <v>62</v>
      </c>
      <c r="D56" s="379"/>
      <c r="E56" s="380" t="s">
        <v>63</v>
      </c>
      <c r="F56" s="381"/>
      <c r="G56" s="251"/>
      <c r="H56" s="252"/>
    </row>
    <row r="57" spans="2:8" ht="29.45" customHeight="1" x14ac:dyDescent="0.25">
      <c r="B57" s="191"/>
      <c r="C57" s="386" t="s">
        <v>64</v>
      </c>
      <c r="D57" s="379"/>
      <c r="E57" s="380" t="s">
        <v>65</v>
      </c>
      <c r="F57" s="381"/>
      <c r="G57" s="251"/>
      <c r="H57" s="252"/>
    </row>
    <row r="58" spans="2:8" ht="18.75" customHeight="1" x14ac:dyDescent="0.25">
      <c r="B58" s="191"/>
      <c r="C58" s="251"/>
      <c r="D58" s="251"/>
      <c r="E58" s="251"/>
      <c r="F58" s="251"/>
      <c r="G58" s="251"/>
      <c r="H58" s="252"/>
    </row>
    <row r="59" spans="2:8" ht="18.75" customHeight="1" x14ac:dyDescent="0.25">
      <c r="B59" s="404" t="s">
        <v>66</v>
      </c>
      <c r="C59" s="405"/>
      <c r="D59" s="405"/>
      <c r="E59" s="405"/>
      <c r="F59" s="405"/>
      <c r="G59" s="405"/>
      <c r="H59" s="406"/>
    </row>
    <row r="60" spans="2:8" ht="18.75" customHeight="1" x14ac:dyDescent="0.25">
      <c r="B60" s="191"/>
      <c r="C60" s="251"/>
      <c r="D60" s="251"/>
      <c r="E60" s="251"/>
      <c r="F60" s="251"/>
      <c r="G60" s="251"/>
      <c r="H60" s="252"/>
    </row>
    <row r="61" spans="2:8" ht="18.75" customHeight="1" x14ac:dyDescent="0.25">
      <c r="B61" s="392" t="s">
        <v>67</v>
      </c>
      <c r="C61" s="393"/>
      <c r="D61" s="393"/>
      <c r="E61" s="393"/>
      <c r="F61" s="393"/>
      <c r="G61" s="393"/>
      <c r="H61" s="394"/>
    </row>
    <row r="62" spans="2:8" ht="18.75" customHeight="1" x14ac:dyDescent="0.25">
      <c r="B62" s="245"/>
      <c r="C62" s="246"/>
      <c r="D62" s="246"/>
      <c r="E62" s="246"/>
      <c r="F62" s="246"/>
      <c r="G62" s="246"/>
      <c r="H62" s="247"/>
    </row>
    <row r="63" spans="2:8" ht="30" customHeight="1" x14ac:dyDescent="0.25">
      <c r="B63" s="407" t="s">
        <v>68</v>
      </c>
      <c r="C63" s="408"/>
      <c r="D63" s="408"/>
      <c r="E63" s="408"/>
      <c r="F63" s="408"/>
      <c r="G63" s="408"/>
      <c r="H63" s="409"/>
    </row>
    <row r="64" spans="2:8" ht="17.25" thickBot="1" x14ac:dyDescent="0.3">
      <c r="B64" s="191"/>
      <c r="C64" s="251"/>
      <c r="D64" s="251"/>
      <c r="E64" s="251"/>
      <c r="F64" s="251"/>
      <c r="G64" s="251"/>
      <c r="H64" s="252"/>
    </row>
    <row r="65" spans="2:8" ht="30" customHeight="1" thickTop="1" x14ac:dyDescent="0.25">
      <c r="B65" s="191"/>
      <c r="C65" s="382" t="s">
        <v>10</v>
      </c>
      <c r="D65" s="383"/>
      <c r="E65" s="384" t="s">
        <v>11</v>
      </c>
      <c r="F65" s="385"/>
      <c r="G65" s="251"/>
      <c r="H65" s="252"/>
    </row>
    <row r="66" spans="2:8" ht="30" customHeight="1" x14ac:dyDescent="0.25">
      <c r="B66" s="191"/>
      <c r="C66" s="386" t="s">
        <v>69</v>
      </c>
      <c r="D66" s="379"/>
      <c r="E66" s="380" t="s">
        <v>70</v>
      </c>
      <c r="F66" s="381"/>
      <c r="G66" s="251"/>
      <c r="H66" s="252"/>
    </row>
    <row r="67" spans="2:8" ht="44.45" customHeight="1" x14ac:dyDescent="0.25">
      <c r="B67" s="191"/>
      <c r="C67" s="386" t="s">
        <v>71</v>
      </c>
      <c r="D67" s="379"/>
      <c r="E67" s="380" t="s">
        <v>72</v>
      </c>
      <c r="F67" s="381"/>
      <c r="G67" s="251"/>
      <c r="H67" s="252"/>
    </row>
    <row r="68" spans="2:8" ht="51" customHeight="1" x14ac:dyDescent="0.25">
      <c r="B68" s="191"/>
      <c r="C68" s="386" t="s">
        <v>73</v>
      </c>
      <c r="D68" s="379"/>
      <c r="E68" s="380" t="s">
        <v>74</v>
      </c>
      <c r="F68" s="381"/>
      <c r="G68" s="251"/>
      <c r="H68" s="252"/>
    </row>
    <row r="69" spans="2:8" ht="76.5" customHeight="1" x14ac:dyDescent="0.25">
      <c r="B69" s="191"/>
      <c r="C69" s="386" t="s">
        <v>75</v>
      </c>
      <c r="D69" s="379"/>
      <c r="E69" s="380" t="s">
        <v>76</v>
      </c>
      <c r="F69" s="381"/>
      <c r="G69" s="251"/>
      <c r="H69" s="252"/>
    </row>
    <row r="70" spans="2:8" ht="30" customHeight="1" x14ac:dyDescent="0.25">
      <c r="B70" s="191"/>
      <c r="C70" s="386" t="s">
        <v>77</v>
      </c>
      <c r="D70" s="379"/>
      <c r="E70" s="380" t="s">
        <v>78</v>
      </c>
      <c r="F70" s="381"/>
      <c r="G70" s="251"/>
      <c r="H70" s="252"/>
    </row>
    <row r="71" spans="2:8" ht="30" customHeight="1" x14ac:dyDescent="0.25">
      <c r="B71" s="191"/>
      <c r="C71" s="386" t="s">
        <v>79</v>
      </c>
      <c r="D71" s="379"/>
      <c r="E71" s="380" t="s">
        <v>80</v>
      </c>
      <c r="F71" s="381"/>
      <c r="G71" s="251"/>
      <c r="H71" s="252"/>
    </row>
    <row r="72" spans="2:8" ht="30" customHeight="1" x14ac:dyDescent="0.25">
      <c r="B72" s="191"/>
      <c r="C72" s="386" t="s">
        <v>81</v>
      </c>
      <c r="D72" s="379"/>
      <c r="E72" s="380" t="s">
        <v>82</v>
      </c>
      <c r="F72" s="381"/>
      <c r="G72" s="251"/>
      <c r="H72" s="252"/>
    </row>
    <row r="73" spans="2:8" ht="53.45" customHeight="1" x14ac:dyDescent="0.25">
      <c r="B73" s="191"/>
      <c r="C73" s="386" t="s">
        <v>83</v>
      </c>
      <c r="D73" s="379"/>
      <c r="E73" s="380" t="s">
        <v>84</v>
      </c>
      <c r="F73" s="381"/>
      <c r="G73" s="251"/>
      <c r="H73" s="252"/>
    </row>
    <row r="74" spans="2:8" ht="30" customHeight="1" x14ac:dyDescent="0.25">
      <c r="B74" s="191"/>
      <c r="C74" s="251"/>
      <c r="D74" s="251"/>
      <c r="E74" s="251"/>
      <c r="F74" s="251"/>
      <c r="G74" s="251"/>
      <c r="H74" s="252"/>
    </row>
    <row r="75" spans="2:8" ht="18.75" customHeight="1" x14ac:dyDescent="0.25">
      <c r="B75" s="392" t="s">
        <v>85</v>
      </c>
      <c r="C75" s="393"/>
      <c r="D75" s="393"/>
      <c r="E75" s="393"/>
      <c r="F75" s="393"/>
      <c r="G75" s="393"/>
      <c r="H75" s="394"/>
    </row>
    <row r="76" spans="2:8" ht="18.75" customHeight="1" x14ac:dyDescent="0.25">
      <c r="B76" s="253"/>
      <c r="C76" s="254"/>
      <c r="D76" s="254"/>
      <c r="E76" s="254"/>
      <c r="F76" s="254"/>
      <c r="G76" s="254"/>
      <c r="H76" s="255"/>
    </row>
    <row r="77" spans="2:8" ht="18.75" customHeight="1" x14ac:dyDescent="0.25">
      <c r="B77" s="392" t="s">
        <v>86</v>
      </c>
      <c r="C77" s="393"/>
      <c r="D77" s="393"/>
      <c r="E77" s="393"/>
      <c r="F77" s="393"/>
      <c r="G77" s="393"/>
      <c r="H77" s="394"/>
    </row>
    <row r="78" spans="2:8" ht="18.75" customHeight="1" x14ac:dyDescent="0.25">
      <c r="B78" s="253"/>
      <c r="C78" s="254"/>
      <c r="D78" s="254"/>
      <c r="E78" s="254"/>
      <c r="F78" s="254"/>
      <c r="G78" s="254"/>
      <c r="H78" s="255"/>
    </row>
    <row r="79" spans="2:8" ht="18.75" customHeight="1" x14ac:dyDescent="0.25">
      <c r="B79" s="392" t="s">
        <v>87</v>
      </c>
      <c r="C79" s="393"/>
      <c r="D79" s="393"/>
      <c r="E79" s="393"/>
      <c r="F79" s="393"/>
      <c r="G79" s="393"/>
      <c r="H79" s="394"/>
    </row>
    <row r="80" spans="2:8" ht="16.5" x14ac:dyDescent="0.25">
      <c r="B80" s="191"/>
      <c r="C80" s="274"/>
      <c r="D80" s="274"/>
      <c r="E80" s="274"/>
      <c r="F80" s="274"/>
      <c r="G80" s="274"/>
      <c r="H80" s="192"/>
    </row>
    <row r="81" spans="2:8" ht="16.5" x14ac:dyDescent="0.25">
      <c r="B81" s="191"/>
      <c r="C81" s="274"/>
      <c r="D81" s="274"/>
      <c r="E81" s="274"/>
      <c r="F81" s="274"/>
      <c r="G81" s="274"/>
      <c r="H81" s="192"/>
    </row>
    <row r="82" spans="2:8" ht="16.5" x14ac:dyDescent="0.25">
      <c r="B82" s="191" t="s">
        <v>88</v>
      </c>
      <c r="C82" s="274"/>
      <c r="D82" s="274"/>
      <c r="E82" s="274"/>
      <c r="F82" s="274"/>
      <c r="G82" s="274"/>
      <c r="H82" s="192"/>
    </row>
    <row r="83" spans="2:8" ht="16.5" x14ac:dyDescent="0.25">
      <c r="B83" s="191"/>
      <c r="C83" s="274"/>
      <c r="D83" s="274"/>
      <c r="E83" s="274"/>
      <c r="F83" s="274"/>
      <c r="G83" s="274"/>
      <c r="H83" s="192"/>
    </row>
    <row r="84" spans="2:8" ht="15.75" thickBot="1" x14ac:dyDescent="0.3">
      <c r="B84" s="266"/>
      <c r="C84" s="271"/>
      <c r="D84" s="275"/>
      <c r="E84" s="276"/>
      <c r="F84" s="276"/>
      <c r="G84" s="277"/>
      <c r="H84" s="267"/>
    </row>
    <row r="85" spans="2:8" ht="15.75" thickTop="1" x14ac:dyDescent="0.25">
      <c r="B85" s="278" t="s">
        <v>89</v>
      </c>
      <c r="C85" s="428" t="s">
        <v>10</v>
      </c>
      <c r="D85" s="383"/>
      <c r="E85" s="384" t="s">
        <v>11</v>
      </c>
      <c r="F85" s="385"/>
      <c r="G85" s="271"/>
      <c r="H85" s="267"/>
    </row>
    <row r="86" spans="2:8" s="190" customFormat="1" x14ac:dyDescent="0.25">
      <c r="B86" s="282">
        <v>2</v>
      </c>
      <c r="C86" s="388" t="s">
        <v>12</v>
      </c>
      <c r="D86" s="389"/>
      <c r="E86" s="390" t="s">
        <v>13</v>
      </c>
      <c r="F86" s="391"/>
      <c r="G86" s="279"/>
      <c r="H86" s="193"/>
    </row>
    <row r="87" spans="2:8" s="190" customFormat="1" ht="17.25" customHeight="1" x14ac:dyDescent="0.25">
      <c r="B87" s="282">
        <v>2</v>
      </c>
      <c r="C87" s="388" t="s">
        <v>14</v>
      </c>
      <c r="D87" s="389"/>
      <c r="E87" s="390" t="s">
        <v>15</v>
      </c>
      <c r="F87" s="391"/>
      <c r="G87" s="279"/>
      <c r="H87" s="193"/>
    </row>
    <row r="88" spans="2:8" s="190" customFormat="1" ht="25.5" customHeight="1" x14ac:dyDescent="0.25">
      <c r="B88" s="282">
        <v>2</v>
      </c>
      <c r="C88" s="388" t="s">
        <v>16</v>
      </c>
      <c r="D88" s="389"/>
      <c r="E88" s="390" t="s">
        <v>17</v>
      </c>
      <c r="F88" s="391"/>
      <c r="G88" s="279"/>
      <c r="H88" s="193"/>
    </row>
    <row r="89" spans="2:8" s="190" customFormat="1" ht="25.5" customHeight="1" x14ac:dyDescent="0.25">
      <c r="B89" s="282">
        <v>2</v>
      </c>
      <c r="C89" s="388" t="s">
        <v>18</v>
      </c>
      <c r="D89" s="389"/>
      <c r="E89" s="390" t="s">
        <v>19</v>
      </c>
      <c r="F89" s="391"/>
      <c r="G89" s="279"/>
      <c r="H89" s="193"/>
    </row>
    <row r="90" spans="2:8" s="190" customFormat="1" ht="66.95" customHeight="1" x14ac:dyDescent="0.25">
      <c r="B90" s="282">
        <v>2</v>
      </c>
      <c r="C90" s="388" t="s">
        <v>20</v>
      </c>
      <c r="D90" s="389"/>
      <c r="E90" s="390" t="s">
        <v>21</v>
      </c>
      <c r="F90" s="391"/>
      <c r="G90" s="279"/>
      <c r="H90" s="193"/>
    </row>
    <row r="91" spans="2:8" s="190" customFormat="1" ht="67.5" customHeight="1" x14ac:dyDescent="0.25">
      <c r="B91" s="282">
        <v>2</v>
      </c>
      <c r="C91" s="379" t="s">
        <v>22</v>
      </c>
      <c r="D91" s="387"/>
      <c r="E91" s="380" t="s">
        <v>23</v>
      </c>
      <c r="F91" s="381"/>
      <c r="G91" s="279"/>
      <c r="H91" s="193"/>
    </row>
    <row r="92" spans="2:8" s="190" customFormat="1" ht="43.5" customHeight="1" x14ac:dyDescent="0.25">
      <c r="B92" s="282">
        <v>2</v>
      </c>
      <c r="C92" s="379" t="s">
        <v>24</v>
      </c>
      <c r="D92" s="387"/>
      <c r="E92" s="380" t="s">
        <v>25</v>
      </c>
      <c r="F92" s="381"/>
      <c r="G92" s="279"/>
      <c r="H92" s="193"/>
    </row>
    <row r="93" spans="2:8" s="190" customFormat="1" ht="35.25" customHeight="1" x14ac:dyDescent="0.25">
      <c r="B93" s="282">
        <v>2</v>
      </c>
      <c r="C93" s="379" t="s">
        <v>26</v>
      </c>
      <c r="D93" s="387"/>
      <c r="E93" s="380" t="s">
        <v>27</v>
      </c>
      <c r="F93" s="381"/>
      <c r="G93" s="279"/>
      <c r="H93" s="193"/>
    </row>
    <row r="94" spans="2:8" s="190" customFormat="1" ht="72.75" customHeight="1" x14ac:dyDescent="0.25">
      <c r="B94" s="282">
        <v>2</v>
      </c>
      <c r="C94" s="379" t="s">
        <v>28</v>
      </c>
      <c r="D94" s="387"/>
      <c r="E94" s="380" t="s">
        <v>90</v>
      </c>
      <c r="F94" s="381"/>
      <c r="G94" s="279"/>
      <c r="H94" s="193"/>
    </row>
    <row r="95" spans="2:8" s="190" customFormat="1" ht="93.95" customHeight="1" x14ac:dyDescent="0.25">
      <c r="B95" s="282">
        <v>2</v>
      </c>
      <c r="C95" s="379" t="s">
        <v>30</v>
      </c>
      <c r="D95" s="387"/>
      <c r="E95" s="380" t="s">
        <v>31</v>
      </c>
      <c r="F95" s="381"/>
      <c r="G95" s="279"/>
      <c r="H95" s="193"/>
    </row>
    <row r="96" spans="2:8" s="190" customFormat="1" ht="93.95" customHeight="1" x14ac:dyDescent="0.25">
      <c r="B96" s="282">
        <v>2</v>
      </c>
      <c r="C96" s="379" t="s">
        <v>32</v>
      </c>
      <c r="D96" s="387"/>
      <c r="E96" s="380" t="s">
        <v>33</v>
      </c>
      <c r="F96" s="381"/>
      <c r="G96" s="279"/>
      <c r="H96" s="193"/>
    </row>
    <row r="97" spans="2:8" s="190" customFormat="1" x14ac:dyDescent="0.25">
      <c r="B97" s="282">
        <v>2</v>
      </c>
      <c r="C97" s="379" t="s">
        <v>34</v>
      </c>
      <c r="D97" s="387"/>
      <c r="E97" s="380" t="s">
        <v>35</v>
      </c>
      <c r="F97" s="381"/>
      <c r="G97" s="279"/>
      <c r="H97" s="193"/>
    </row>
    <row r="98" spans="2:8" s="190" customFormat="1" ht="66.75" customHeight="1" x14ac:dyDescent="0.25">
      <c r="B98" s="282">
        <v>3</v>
      </c>
      <c r="C98" s="379" t="s">
        <v>37</v>
      </c>
      <c r="D98" s="387"/>
      <c r="E98" s="380" t="s">
        <v>38</v>
      </c>
      <c r="F98" s="381"/>
      <c r="G98" s="279"/>
      <c r="H98" s="193"/>
    </row>
    <row r="99" spans="2:8" s="190" customFormat="1" ht="66.75" customHeight="1" x14ac:dyDescent="0.25">
      <c r="B99" s="282">
        <v>3</v>
      </c>
      <c r="C99" s="379" t="s">
        <v>39</v>
      </c>
      <c r="D99" s="387"/>
      <c r="E99" s="380" t="s">
        <v>40</v>
      </c>
      <c r="F99" s="381"/>
      <c r="G99" s="279"/>
      <c r="H99" s="193"/>
    </row>
    <row r="100" spans="2:8" s="190" customFormat="1" ht="62.45" customHeight="1" x14ac:dyDescent="0.25">
      <c r="B100" s="282">
        <v>3</v>
      </c>
      <c r="C100" s="379" t="s">
        <v>41</v>
      </c>
      <c r="D100" s="387"/>
      <c r="E100" s="380" t="s">
        <v>42</v>
      </c>
      <c r="F100" s="381"/>
      <c r="G100" s="279"/>
      <c r="H100" s="193"/>
    </row>
    <row r="101" spans="2:8" s="190" customFormat="1" ht="38.450000000000003" customHeight="1" x14ac:dyDescent="0.25">
      <c r="B101" s="282">
        <v>3</v>
      </c>
      <c r="C101" s="379" t="s">
        <v>43</v>
      </c>
      <c r="D101" s="387"/>
      <c r="E101" s="380" t="s">
        <v>44</v>
      </c>
      <c r="F101" s="381"/>
      <c r="G101" s="279"/>
      <c r="H101" s="193"/>
    </row>
    <row r="102" spans="2:8" ht="59.25" customHeight="1" x14ac:dyDescent="0.25">
      <c r="B102" s="283">
        <v>5</v>
      </c>
      <c r="C102" s="378" t="s">
        <v>47</v>
      </c>
      <c r="D102" s="379"/>
      <c r="E102" s="380" t="s">
        <v>91</v>
      </c>
      <c r="F102" s="381"/>
      <c r="G102" s="271"/>
      <c r="H102" s="267"/>
    </row>
    <row r="103" spans="2:8" ht="59.25" customHeight="1" x14ac:dyDescent="0.25">
      <c r="B103" s="283">
        <v>5</v>
      </c>
      <c r="C103" s="378" t="s">
        <v>49</v>
      </c>
      <c r="D103" s="379"/>
      <c r="E103" s="380" t="s">
        <v>50</v>
      </c>
      <c r="F103" s="381"/>
      <c r="G103" s="271"/>
      <c r="H103" s="267"/>
    </row>
    <row r="104" spans="2:8" ht="59.25" customHeight="1" x14ac:dyDescent="0.25">
      <c r="B104" s="283">
        <v>5</v>
      </c>
      <c r="C104" s="378" t="s">
        <v>51</v>
      </c>
      <c r="D104" s="379"/>
      <c r="E104" s="380" t="s">
        <v>52</v>
      </c>
      <c r="F104" s="381"/>
      <c r="G104" s="271"/>
      <c r="H104" s="267"/>
    </row>
    <row r="105" spans="2:8" ht="59.25" customHeight="1" x14ac:dyDescent="0.25">
      <c r="B105" s="283">
        <v>5</v>
      </c>
      <c r="C105" s="378" t="s">
        <v>53</v>
      </c>
      <c r="D105" s="379"/>
      <c r="E105" s="380" t="s">
        <v>52</v>
      </c>
      <c r="F105" s="381"/>
      <c r="G105" s="271"/>
      <c r="H105" s="267"/>
    </row>
    <row r="106" spans="2:8" ht="47.45" customHeight="1" x14ac:dyDescent="0.25">
      <c r="B106" s="283">
        <v>5</v>
      </c>
      <c r="C106" s="378" t="s">
        <v>54</v>
      </c>
      <c r="D106" s="379"/>
      <c r="E106" s="380" t="s">
        <v>55</v>
      </c>
      <c r="F106" s="381"/>
      <c r="G106" s="271"/>
      <c r="H106" s="267"/>
    </row>
    <row r="107" spans="2:8" ht="45.75" customHeight="1" x14ac:dyDescent="0.25">
      <c r="B107" s="283">
        <v>5</v>
      </c>
      <c r="C107" s="378" t="s">
        <v>56</v>
      </c>
      <c r="D107" s="379"/>
      <c r="E107" s="380" t="s">
        <v>57</v>
      </c>
      <c r="F107" s="381"/>
      <c r="G107" s="271"/>
      <c r="H107" s="267"/>
    </row>
    <row r="108" spans="2:8" ht="32.450000000000003" customHeight="1" x14ac:dyDescent="0.25">
      <c r="B108" s="283">
        <v>5</v>
      </c>
      <c r="C108" s="378" t="s">
        <v>58</v>
      </c>
      <c r="D108" s="379"/>
      <c r="E108" s="380" t="s">
        <v>59</v>
      </c>
      <c r="F108" s="381"/>
      <c r="G108" s="271"/>
      <c r="H108" s="267"/>
    </row>
    <row r="109" spans="2:8" ht="33.75" customHeight="1" x14ac:dyDescent="0.25">
      <c r="B109" s="283">
        <v>5</v>
      </c>
      <c r="C109" s="378" t="s">
        <v>60</v>
      </c>
      <c r="D109" s="379"/>
      <c r="E109" s="380" t="s">
        <v>61</v>
      </c>
      <c r="F109" s="381"/>
      <c r="G109" s="271"/>
      <c r="H109" s="267"/>
    </row>
    <row r="110" spans="2:8" ht="33.75" customHeight="1" x14ac:dyDescent="0.25">
      <c r="B110" s="283">
        <v>5</v>
      </c>
      <c r="C110" s="378" t="s">
        <v>62</v>
      </c>
      <c r="D110" s="379"/>
      <c r="E110" s="380" t="s">
        <v>63</v>
      </c>
      <c r="F110" s="381"/>
      <c r="G110" s="271"/>
      <c r="H110" s="267"/>
    </row>
    <row r="111" spans="2:8" x14ac:dyDescent="0.25">
      <c r="B111" s="283">
        <v>5</v>
      </c>
      <c r="C111" s="378" t="s">
        <v>64</v>
      </c>
      <c r="D111" s="379"/>
      <c r="E111" s="380" t="s">
        <v>65</v>
      </c>
      <c r="F111" s="381"/>
      <c r="G111" s="271"/>
      <c r="H111" s="267"/>
    </row>
    <row r="112" spans="2:8" ht="24.95" customHeight="1" x14ac:dyDescent="0.25">
      <c r="B112" s="283">
        <v>8</v>
      </c>
      <c r="C112" s="378" t="s">
        <v>69</v>
      </c>
      <c r="D112" s="379"/>
      <c r="E112" s="380" t="s">
        <v>70</v>
      </c>
      <c r="F112" s="381"/>
      <c r="G112" s="271"/>
      <c r="H112" s="267"/>
    </row>
    <row r="113" spans="2:8" ht="46.5" customHeight="1" x14ac:dyDescent="0.25">
      <c r="B113" s="283">
        <v>8</v>
      </c>
      <c r="C113" s="378" t="s">
        <v>71</v>
      </c>
      <c r="D113" s="379"/>
      <c r="E113" s="380" t="s">
        <v>72</v>
      </c>
      <c r="F113" s="381"/>
      <c r="G113" s="271"/>
      <c r="H113" s="267"/>
    </row>
    <row r="114" spans="2:8" ht="46.5" customHeight="1" x14ac:dyDescent="0.25">
      <c r="B114" s="283">
        <v>8</v>
      </c>
      <c r="C114" s="378" t="s">
        <v>73</v>
      </c>
      <c r="D114" s="379"/>
      <c r="E114" s="380" t="s">
        <v>74</v>
      </c>
      <c r="F114" s="381"/>
      <c r="G114" s="271"/>
      <c r="H114" s="267"/>
    </row>
    <row r="115" spans="2:8" s="190" customFormat="1" ht="82.5" customHeight="1" x14ac:dyDescent="0.25">
      <c r="B115" s="282">
        <v>8</v>
      </c>
      <c r="C115" s="378" t="s">
        <v>75</v>
      </c>
      <c r="D115" s="379"/>
      <c r="E115" s="380" t="s">
        <v>76</v>
      </c>
      <c r="F115" s="381"/>
      <c r="G115" s="279"/>
      <c r="H115" s="193"/>
    </row>
    <row r="116" spans="2:8" s="190" customFormat="1" ht="33.950000000000003" customHeight="1" x14ac:dyDescent="0.25">
      <c r="B116" s="282">
        <v>8</v>
      </c>
      <c r="C116" s="378" t="s">
        <v>77</v>
      </c>
      <c r="D116" s="379"/>
      <c r="E116" s="380" t="s">
        <v>78</v>
      </c>
      <c r="F116" s="381"/>
      <c r="G116" s="279"/>
      <c r="H116" s="193"/>
    </row>
    <row r="117" spans="2:8" s="190" customFormat="1" ht="33.950000000000003" customHeight="1" x14ac:dyDescent="0.25">
      <c r="B117" s="282">
        <v>8</v>
      </c>
      <c r="C117" s="378" t="s">
        <v>79</v>
      </c>
      <c r="D117" s="379"/>
      <c r="E117" s="380" t="s">
        <v>80</v>
      </c>
      <c r="F117" s="381"/>
      <c r="G117" s="279"/>
      <c r="H117" s="193"/>
    </row>
    <row r="118" spans="2:8" s="190" customFormat="1" ht="33.950000000000003" customHeight="1" x14ac:dyDescent="0.25">
      <c r="B118" s="282">
        <v>8</v>
      </c>
      <c r="C118" s="378" t="s">
        <v>81</v>
      </c>
      <c r="D118" s="379"/>
      <c r="E118" s="380" t="s">
        <v>82</v>
      </c>
      <c r="F118" s="381"/>
      <c r="G118" s="279"/>
      <c r="H118" s="193"/>
    </row>
    <row r="119" spans="2:8" s="190" customFormat="1" ht="46.5" customHeight="1" x14ac:dyDescent="0.25">
      <c r="B119" s="282">
        <v>8</v>
      </c>
      <c r="C119" s="378" t="s">
        <v>83</v>
      </c>
      <c r="D119" s="379"/>
      <c r="E119" s="380" t="s">
        <v>84</v>
      </c>
      <c r="F119" s="381"/>
      <c r="G119" s="279"/>
      <c r="H119" s="193"/>
    </row>
    <row r="120" spans="2:8" ht="6.75" customHeight="1" thickBot="1" x14ac:dyDescent="0.3">
      <c r="B120" s="266"/>
      <c r="C120" s="410"/>
      <c r="D120" s="411"/>
      <c r="E120" s="412"/>
      <c r="F120" s="413"/>
      <c r="G120" s="271"/>
      <c r="H120" s="267"/>
    </row>
    <row r="121" spans="2:8" ht="15.75" thickTop="1" x14ac:dyDescent="0.25">
      <c r="B121" s="266"/>
      <c r="C121" s="280"/>
      <c r="D121" s="280"/>
      <c r="E121" s="281"/>
      <c r="F121" s="281"/>
      <c r="G121" s="271"/>
      <c r="H121" s="267"/>
    </row>
    <row r="122" spans="2:8" ht="15.75" thickBot="1" x14ac:dyDescent="0.3">
      <c r="B122" s="268"/>
      <c r="C122" s="269"/>
      <c r="D122" s="269"/>
      <c r="E122" s="269"/>
      <c r="F122" s="269"/>
      <c r="G122" s="269"/>
      <c r="H122" s="270"/>
    </row>
    <row r="123" spans="2:8" x14ac:dyDescent="0.25"/>
    <row r="124" spans="2:8" x14ac:dyDescent="0.25"/>
    <row r="125" spans="2:8" x14ac:dyDescent="0.25"/>
    <row r="126" spans="2:8" x14ac:dyDescent="0.25">
      <c r="B126" s="300" t="s">
        <v>92</v>
      </c>
    </row>
    <row r="127" spans="2:8" ht="48" customHeight="1" x14ac:dyDescent="0.25">
      <c r="B127" s="376"/>
      <c r="C127" s="376"/>
    </row>
    <row r="128" spans="2:8" x14ac:dyDescent="0.25">
      <c r="B128" s="377"/>
      <c r="C128" s="377"/>
    </row>
    <row r="129" x14ac:dyDescent="0.25"/>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topLeftCell="F1" zoomScale="85" zoomScaleNormal="85" workbookViewId="0">
      <pane ySplit="8" topLeftCell="A10" activePane="bottomLeft" state="frozen"/>
      <selection pane="bottomLeft" activeCell="J13" sqref="J13"/>
    </sheetView>
  </sheetViews>
  <sheetFormatPr baseColWidth="10" defaultColWidth="0" defaultRowHeight="14.25" x14ac:dyDescent="0.25"/>
  <cols>
    <col min="1" max="1" width="27.140625" style="4" customWidth="1"/>
    <col min="2" max="2" width="47.42578125" style="4" customWidth="1"/>
    <col min="3" max="3" width="28.85546875" style="4" customWidth="1"/>
    <col min="4" max="4" width="20.28515625" style="4" customWidth="1"/>
    <col min="5" max="5" width="114" style="4" customWidth="1"/>
    <col min="6" max="6" width="24.140625" style="4" customWidth="1"/>
    <col min="7" max="7" width="34" style="4" customWidth="1"/>
    <col min="8" max="8" width="47.140625" style="4" customWidth="1"/>
    <col min="9" max="9" width="28.42578125" style="4" customWidth="1"/>
    <col min="10" max="10" width="69.28515625" style="4" customWidth="1"/>
    <col min="11" max="11" width="20.28515625" style="4"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1" s="3" customFormat="1" ht="36.950000000000003" customHeight="1" x14ac:dyDescent="0.2">
      <c r="A1" s="439" t="s">
        <v>93</v>
      </c>
      <c r="B1" s="439"/>
      <c r="C1" s="439"/>
      <c r="D1" s="439"/>
      <c r="E1" s="439"/>
      <c r="F1" s="439"/>
      <c r="G1" s="439"/>
      <c r="H1" s="439"/>
      <c r="I1" s="439"/>
      <c r="J1" s="439"/>
      <c r="K1" s="439"/>
    </row>
    <row r="2" spans="1:11" s="3" customFormat="1" ht="37.5" customHeight="1" x14ac:dyDescent="0.2">
      <c r="A2" s="343" t="s">
        <v>94</v>
      </c>
      <c r="B2" s="343"/>
      <c r="C2" s="435"/>
      <c r="D2" s="436"/>
      <c r="E2" s="436"/>
      <c r="F2" s="436"/>
      <c r="G2" s="436"/>
      <c r="H2" s="436"/>
      <c r="I2" s="436"/>
      <c r="J2" s="436"/>
      <c r="K2" s="437"/>
    </row>
    <row r="3" spans="1:11" s="3" customFormat="1" ht="3.95" customHeight="1" x14ac:dyDescent="0.2">
      <c r="A3" s="440"/>
      <c r="B3" s="441"/>
      <c r="C3" s="441"/>
      <c r="D3" s="441"/>
      <c r="E3" s="441"/>
      <c r="F3" s="441"/>
      <c r="G3" s="441"/>
      <c r="H3" s="441"/>
      <c r="I3" s="441"/>
      <c r="J3" s="441"/>
      <c r="K3" s="442"/>
    </row>
    <row r="4" spans="1:11" ht="27" customHeight="1" x14ac:dyDescent="0.25">
      <c r="A4" s="12" t="s">
        <v>95</v>
      </c>
      <c r="B4" s="352"/>
      <c r="C4" s="353"/>
      <c r="D4" s="337"/>
      <c r="E4" s="12" t="s">
        <v>96</v>
      </c>
      <c r="F4" s="337"/>
      <c r="G4" s="443"/>
      <c r="H4" s="444"/>
      <c r="I4" s="309" t="s">
        <v>16</v>
      </c>
      <c r="J4" s="341"/>
      <c r="K4" s="342"/>
    </row>
    <row r="5" spans="1:11" ht="30" x14ac:dyDescent="0.25">
      <c r="A5" s="310" t="s">
        <v>97</v>
      </c>
      <c r="B5" s="344"/>
      <c r="C5" s="345"/>
      <c r="D5" s="346"/>
      <c r="E5" s="347" t="s">
        <v>98</v>
      </c>
      <c r="F5" s="348" t="s">
        <v>99</v>
      </c>
      <c r="G5" s="349"/>
      <c r="H5" s="350"/>
      <c r="I5" s="351" t="s">
        <v>100</v>
      </c>
      <c r="J5" s="340"/>
      <c r="K5" s="340"/>
    </row>
    <row r="6" spans="1:11" ht="15" x14ac:dyDescent="0.25">
      <c r="F6" s="225"/>
      <c r="G6" s="226"/>
      <c r="H6" s="226"/>
      <c r="I6" s="227"/>
      <c r="J6" s="228"/>
    </row>
    <row r="7" spans="1:11" ht="21" customHeight="1" x14ac:dyDescent="0.25">
      <c r="A7" s="438" t="s">
        <v>101</v>
      </c>
      <c r="B7" s="438" t="s">
        <v>102</v>
      </c>
      <c r="C7" s="438"/>
      <c r="D7" s="438"/>
      <c r="E7" s="438"/>
    </row>
    <row r="8" spans="1:11" ht="65.25" customHeight="1" x14ac:dyDescent="0.25">
      <c r="A8" s="438"/>
      <c r="B8" s="142" t="s">
        <v>103</v>
      </c>
      <c r="C8" s="142" t="s">
        <v>104</v>
      </c>
      <c r="D8" s="142" t="s">
        <v>105</v>
      </c>
      <c r="E8" s="142" t="s">
        <v>106</v>
      </c>
      <c r="F8" s="312" t="s">
        <v>107</v>
      </c>
      <c r="G8" s="310" t="s">
        <v>22</v>
      </c>
      <c r="H8" s="310" t="s">
        <v>108</v>
      </c>
      <c r="I8" s="310" t="s">
        <v>109</v>
      </c>
      <c r="J8" s="310" t="s">
        <v>28</v>
      </c>
      <c r="K8" s="333" t="s">
        <v>110</v>
      </c>
    </row>
    <row r="9" spans="1:11" s="5" customFormat="1" ht="93" customHeight="1" x14ac:dyDescent="0.25">
      <c r="A9" s="1" t="s">
        <v>111</v>
      </c>
      <c r="B9" s="2" t="s">
        <v>207</v>
      </c>
      <c r="C9" s="2" t="s">
        <v>211</v>
      </c>
      <c r="D9" s="160" t="str">
        <f>+IF(B9='11 FORMULAS'!$B$4,'11 FORMULAS'!$C$4,IF(B9='11 FORMULAS'!$B$6,'11 FORMULAS'!$C$6,IF(B9='11 FORMULAS'!$B$8,'11 FORMULAS'!$C$8,IF(B9='11 FORMULAS'!$B$10,'11 FORMULAS'!$C$10,""))))</f>
        <v/>
      </c>
      <c r="E9" s="311"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191</v>
      </c>
      <c r="G9" s="1" t="s">
        <v>199</v>
      </c>
      <c r="H9" s="334" t="s">
        <v>382</v>
      </c>
      <c r="I9" s="334" t="s">
        <v>381</v>
      </c>
      <c r="J9" s="339" t="str">
        <f>(CONCATENATE(Tabla1[[#This Row],[¿QUÉ? 
IMPACTO]]," ","por",Tabla1[[#This Row],[¿CÓMO?
CAUSA INMEDIATA 
(Iniciar con la palabra 
por)]]," ","a causa de"," ",Tabla1[[#This Row],[¿PORQUÉ?
CAUSA RAÍZ
(Iniciar con 
debido a/a causa de)]]))</f>
        <v>Posibilidad de perdida de confidencialidad por acceso indebido a la información reservada y clasificada de los servidores y exservidores de la Entidad a causa de la falta de control en el prestamo y custadia de las Historias Laborales.</v>
      </c>
      <c r="K9" s="336"/>
    </row>
    <row r="10" spans="1:11" s="372" customFormat="1" ht="93" customHeight="1" x14ac:dyDescent="0.25">
      <c r="A10" s="364" t="s">
        <v>116</v>
      </c>
      <c r="B10" s="365" t="s">
        <v>207</v>
      </c>
      <c r="C10" s="365" t="s">
        <v>241</v>
      </c>
      <c r="D10" s="363" t="str">
        <f>+IF(B10='11 FORMULAS'!$B$4,'11 FORMULAS'!$C$4,IF(B10='11 FORMULAS'!$B$6,'11 FORMULAS'!$C$6,IF(B10='11 FORMULAS'!$B$8,'11 FORMULAS'!$C$8,IF(B10='11 FORMULAS'!$B$10,'11 FORMULAS'!$C$10,""))))</f>
        <v/>
      </c>
      <c r="E10" s="369"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364" t="s">
        <v>186</v>
      </c>
      <c r="G10" s="364" t="s">
        <v>201</v>
      </c>
      <c r="H10" s="368" t="s">
        <v>400</v>
      </c>
      <c r="I10" s="368" t="s">
        <v>399</v>
      </c>
      <c r="J10" s="370" t="str">
        <f>(CONCATENATE(Tabla1[[#This Row],[¿QUÉ? 
IMPACTO]]," ","por",Tabla1[[#This Row],[¿CÓMO?
CAUSA INMEDIATA 
(Iniciar con la palabra 
por)]]," ","a causa de"," ",Tabla1[[#This Row],[¿PORQUÉ?
CAUSA RAÍZ
(Iniciar con 
debido a/a causa de)]]))</f>
        <v>Posibilidad de afectación económica y reputacional por incumplimiento en la realización de las actividades del Plan Anual de trabajo de SG-SST a causa de falta de seguimiento al cumplimiento de las tareas programadas.</v>
      </c>
      <c r="K10" s="371"/>
    </row>
    <row r="11" spans="1:11" ht="93" customHeight="1" x14ac:dyDescent="0.25">
      <c r="A11" s="1" t="s">
        <v>117</v>
      </c>
      <c r="B11" s="2" t="s">
        <v>207</v>
      </c>
      <c r="C11" s="2" t="s">
        <v>231</v>
      </c>
      <c r="D11" s="160" t="str">
        <f>+IF(B11='11 FORMULAS'!$B$4,'11 FORMULAS'!$C$4,IF(B11='11 FORMULAS'!$B$6,'11 FORMULAS'!$C$6,IF(B11='11 FORMULAS'!$B$8,'11 FORMULAS'!$C$8,IF(B11='11 FORMULAS'!$B$10,'11 FORMULAS'!$C$10,""))))</f>
        <v/>
      </c>
      <c r="E11" s="311"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114</v>
      </c>
      <c r="G11" s="1" t="s">
        <v>201</v>
      </c>
      <c r="H11" s="334" t="s">
        <v>387</v>
      </c>
      <c r="I11" s="334" t="s">
        <v>388</v>
      </c>
      <c r="J11" s="339" t="str">
        <f>(CONCATENATE(Tabla1[[#This Row],[¿QUÉ? 
IMPACTO]]," ","por",Tabla1[[#This Row],[¿CÓMO?
CAUSA INMEDIATA 
(Iniciar con la palabra 
por)]]," ","a causa de"," ",Tabla1[[#This Row],[¿PORQUÉ?
CAUSA RAÍZ
(Iniciar con 
debido a/a causa de)]]))</f>
        <v>Posibilidad de afectación económica y reputacional por inconsistencias en el calculo, liquidación y pago de la nómina y la seguridad social a causa de la no inclusión de novedades generadas.</v>
      </c>
      <c r="K11" s="337"/>
    </row>
    <row r="12" spans="1:11" ht="90" customHeight="1" x14ac:dyDescent="0.25">
      <c r="A12" s="1" t="s">
        <v>118</v>
      </c>
      <c r="B12" s="2" t="s">
        <v>182</v>
      </c>
      <c r="C12" s="2" t="s">
        <v>233</v>
      </c>
      <c r="D12" s="160" t="str">
        <f>+IF(B12='11 FORMULAS'!$B$4,'11 FORMULAS'!$C$4,IF(B12='11 FORMULAS'!$B$6,'11 FORMULAS'!$C$6,IF(B12='11 FORMULAS'!$B$8,'11 FORMULAS'!$C$8,IF(B12='11 FORMULAS'!$B$10,'11 FORMULAS'!$C$10,""))))</f>
        <v/>
      </c>
      <c r="E12" s="311" t="str">
        <f>+IFERROR(VLOOKUP(B12,Tabla3[],2,0),"")</f>
        <v>Eventos relacionados con las conductas o comportamientos de los empleados que afectan la Integridad Pública</v>
      </c>
      <c r="F12" s="1" t="s">
        <v>192</v>
      </c>
      <c r="G12" s="1" t="s">
        <v>200</v>
      </c>
      <c r="H12" s="334" t="s">
        <v>397</v>
      </c>
      <c r="I12" s="334" t="s">
        <v>403</v>
      </c>
      <c r="J12" s="339" t="str">
        <f>(CONCATENATE(Tabla1[[#This Row],[¿QUÉ? 
IMPACTO]]," ","por",Tabla1[[#This Row],[¿CÓMO?
CAUSA INMEDIATA 
(Iniciar con la palabra 
por)]]," ","a causa de"," ",Tabla1[[#This Row],[¿PORQUÉ?
CAUSA RAÍZ
(Iniciar con 
debido a/a causa de)]]))</f>
        <v>Posibilidad de pérdida reputacional por vincular en la planta de personal o inscribir como liquidadores, agentes especiales, contralores o revisores fiscales, a aspirantes sin el cumplimiento de los requisitos a causa de la falta de verficación de los soportes presentados por los aspirantes.</v>
      </c>
      <c r="K12" s="337"/>
    </row>
    <row r="13" spans="1:11" ht="93" customHeight="1" x14ac:dyDescent="0.25">
      <c r="A13" s="1" t="s">
        <v>119</v>
      </c>
      <c r="B13" s="2" t="s">
        <v>207</v>
      </c>
      <c r="C13" s="2" t="s">
        <v>211</v>
      </c>
      <c r="D13" s="160" t="str">
        <f>+IF(B13='11 FORMULAS'!$B$4,'11 FORMULAS'!$C$4,IF(B13='11 FORMULAS'!$B$6,'11 FORMULAS'!$C$6,IF(B13='11 FORMULAS'!$B$8,'11 FORMULAS'!$C$8,IF(B13='11 FORMULAS'!$B$10,'11 FORMULAS'!$C$10,""))))</f>
        <v/>
      </c>
      <c r="E13" s="311"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114</v>
      </c>
      <c r="G13" s="1" t="s">
        <v>195</v>
      </c>
      <c r="H13" s="334" t="s">
        <v>392</v>
      </c>
      <c r="I13" s="334" t="s">
        <v>393</v>
      </c>
      <c r="J13" s="339" t="str">
        <f>(CONCATENATE(Tabla1[[#This Row],[¿QUÉ? 
IMPACTO]]," ","por",Tabla1[[#This Row],[¿CÓMO?
CAUSA INMEDIATA 
(Iniciar con la palabra 
por)]]," ","a causa de"," ",Tabla1[[#This Row],[¿PORQUÉ?
CAUSA RAÍZ
(Iniciar con 
debido a/a causa de)]]))</f>
        <v>Posibilidad  de efecto dañoso sobre el recurso público por no gestionar el cobro de las incapacidades de manera oportuna a causa de deficiencias en el seguimiento al tramite ante las EPS</v>
      </c>
      <c r="K13" s="337"/>
    </row>
    <row r="14" spans="1:11" ht="93" hidden="1" customHeight="1" x14ac:dyDescent="0.25">
      <c r="A14" s="1" t="s">
        <v>120</v>
      </c>
      <c r="B14" s="2"/>
      <c r="C14" s="2"/>
      <c r="D14" s="160" t="str">
        <f>+IF(B14='11 FORMULAS'!$B$4,'11 FORMULAS'!$C$4,IF(B14='11 FORMULAS'!$B$6,'11 FORMULAS'!$C$6,IF(B14='11 FORMULAS'!$B$8,'11 FORMULAS'!$C$8,IF(B14='11 FORMULAS'!$B$10,'11 FORMULAS'!$C$10,""))))</f>
        <v/>
      </c>
      <c r="E14" s="311" t="str">
        <f>+IFERROR(VLOOKUP(B14,Tabla3[],2,0),"")</f>
        <v/>
      </c>
      <c r="F14" s="1"/>
      <c r="G14" s="1"/>
      <c r="H14" s="334"/>
      <c r="I14" s="334"/>
      <c r="J14" s="339" t="str">
        <f>(CONCATENATE(Tabla1[[#This Row],[¿QUÉ? 
IMPACTO]]," ","por",Tabla1[[#This Row],[¿CÓMO?
CAUSA INMEDIATA 
(Iniciar con la palabra 
por)]]," ","a causa de"," ",Tabla1[[#This Row],[¿PORQUÉ?
CAUSA RAÍZ
(Iniciar con 
debido a/a causa de)]]))</f>
        <v xml:space="preserve"> por a causa de </v>
      </c>
      <c r="K14" s="337"/>
    </row>
    <row r="15" spans="1:11" ht="93" hidden="1" customHeight="1" x14ac:dyDescent="0.25">
      <c r="A15" s="1" t="s">
        <v>121</v>
      </c>
      <c r="B15" s="2"/>
      <c r="C15" s="2"/>
      <c r="D15" s="160" t="str">
        <f>+IF(B15='11 FORMULAS'!$B$4,'11 FORMULAS'!$C$4,IF(B15='11 FORMULAS'!$B$6,'11 FORMULAS'!$C$6,IF(B15='11 FORMULAS'!$B$8,'11 FORMULAS'!$C$8,IF(B15='11 FORMULAS'!$B$10,'11 FORMULAS'!$C$10,""))))</f>
        <v/>
      </c>
      <c r="E15" s="311" t="str">
        <f>+IFERROR(VLOOKUP(B15,Tabla3[],2,0),"")</f>
        <v/>
      </c>
      <c r="F15" s="1"/>
      <c r="G15" s="1"/>
      <c r="H15" s="334"/>
      <c r="I15" s="334"/>
      <c r="J15" s="339" t="str">
        <f>(CONCATENATE(Tabla1[[#This Row],[¿QUÉ? 
IMPACTO]]," ","por",Tabla1[[#This Row],[¿CÓMO?
CAUSA INMEDIATA 
(Iniciar con la palabra 
por)]]," ","a causa de"," ",Tabla1[[#This Row],[¿PORQUÉ?
CAUSA RAÍZ
(Iniciar con 
debido a/a causa de)]]))</f>
        <v xml:space="preserve"> por a causa de </v>
      </c>
      <c r="K15" s="337"/>
    </row>
    <row r="16" spans="1:11" ht="93" hidden="1" customHeight="1" x14ac:dyDescent="0.25">
      <c r="A16" s="1" t="s">
        <v>122</v>
      </c>
      <c r="B16" s="2"/>
      <c r="C16" s="2"/>
      <c r="D16" s="160" t="str">
        <f>+IF(B16='11 FORMULAS'!$B$4,'11 FORMULAS'!$C$4,IF(B16='11 FORMULAS'!$B$6,'11 FORMULAS'!$C$6,IF(B16='11 FORMULAS'!$B$8,'11 FORMULAS'!$C$8,IF(B16='11 FORMULAS'!$B$10,'11 FORMULAS'!$C$10,""))))</f>
        <v/>
      </c>
      <c r="E16" s="311" t="str">
        <f>+IFERROR(VLOOKUP(B16,Tabla3[],2,0),"")</f>
        <v/>
      </c>
      <c r="F16" s="1"/>
      <c r="G16" s="1"/>
      <c r="H16" s="334"/>
      <c r="I16" s="334"/>
      <c r="J16" s="339" t="str">
        <f>(CONCATENATE(Tabla1[[#This Row],[¿QUÉ? 
IMPACTO]]," ","por",Tabla1[[#This Row],[¿CÓMO?
CAUSA INMEDIATA 
(Iniciar con la palabra 
por)]]," ","a causa de"," ",Tabla1[[#This Row],[¿PORQUÉ?
CAUSA RAÍZ
(Iniciar con 
debido a/a causa de)]]))</f>
        <v xml:space="preserve"> por a causa de </v>
      </c>
      <c r="K16" s="337"/>
    </row>
    <row r="17" spans="1:11" s="6" customFormat="1" ht="93" hidden="1" customHeight="1" x14ac:dyDescent="0.25">
      <c r="A17" s="1" t="s">
        <v>123</v>
      </c>
      <c r="B17" s="2"/>
      <c r="C17" s="2"/>
      <c r="D17" s="160" t="str">
        <f>+IF(B17='11 FORMULAS'!$B$4,'11 FORMULAS'!$C$4,IF(B17='11 FORMULAS'!$B$6,'11 FORMULAS'!$C$6,IF(B17='11 FORMULAS'!$B$8,'11 FORMULAS'!$C$8,IF(B17='11 FORMULAS'!$B$10,'11 FORMULAS'!$C$10,""))))</f>
        <v/>
      </c>
      <c r="E17" s="311" t="str">
        <f>+IFERROR(VLOOKUP(B17,Tabla3[],2,0),"")</f>
        <v/>
      </c>
      <c r="F17" s="1"/>
      <c r="G17" s="1"/>
      <c r="H17" s="334"/>
      <c r="I17" s="334"/>
      <c r="J17" s="339" t="str">
        <f>(CONCATENATE(Tabla1[[#This Row],[¿QUÉ? 
IMPACTO]]," ","por",Tabla1[[#This Row],[¿CÓMO?
CAUSA INMEDIATA 
(Iniciar con la palabra 
por)]]," ","a causa de"," ",Tabla1[[#This Row],[¿PORQUÉ?
CAUSA RAÍZ
(Iniciar con 
debido a/a causa de)]]))</f>
        <v xml:space="preserve"> por a causa de </v>
      </c>
      <c r="K17" s="338"/>
    </row>
    <row r="18" spans="1:11" s="6" customFormat="1" ht="93" hidden="1" customHeight="1" x14ac:dyDescent="0.25">
      <c r="A18" s="1" t="s">
        <v>124</v>
      </c>
      <c r="B18" s="2"/>
      <c r="C18" s="2"/>
      <c r="D18" s="160" t="str">
        <f>+IF(B18='11 FORMULAS'!$B$4,'11 FORMULAS'!$C$4,IF(B18='11 FORMULAS'!$B$6,'11 FORMULAS'!$C$6,IF(B18='11 FORMULAS'!$B$8,'11 FORMULAS'!$C$8,IF(B18='11 FORMULAS'!$B$10,'11 FORMULAS'!$C$10,""))))</f>
        <v/>
      </c>
      <c r="E18" s="311" t="str">
        <f>+IFERROR(VLOOKUP(B18,Tabla3[],2,0),"")</f>
        <v/>
      </c>
      <c r="F18" s="1"/>
      <c r="G18" s="1"/>
      <c r="H18" s="334"/>
      <c r="I18" s="334"/>
      <c r="J18" s="339" t="str">
        <f>(CONCATENATE(Tabla1[[#This Row],[¿QUÉ? 
IMPACTO]]," ","por",Tabla1[[#This Row],[¿CÓMO?
CAUSA INMEDIATA 
(Iniciar con la palabra 
por)]]," ","a causa de"," ",Tabla1[[#This Row],[¿PORQUÉ?
CAUSA RAÍZ
(Iniciar con 
debido a/a causa de)]]))</f>
        <v xml:space="preserve"> por a causa de </v>
      </c>
      <c r="K18" s="338"/>
    </row>
    <row r="19" spans="1:11" s="6" customFormat="1" ht="93" hidden="1" customHeight="1" x14ac:dyDescent="0.25">
      <c r="A19" s="1" t="s">
        <v>125</v>
      </c>
      <c r="B19" s="2"/>
      <c r="C19" s="2"/>
      <c r="D19" s="160" t="str">
        <f>+IF(B19='11 FORMULAS'!$B$4,'11 FORMULAS'!$C$4,IF(B19='11 FORMULAS'!$B$6,'11 FORMULAS'!$C$6,IF(B19='11 FORMULAS'!$B$8,'11 FORMULAS'!$C$8,IF(B19='11 FORMULAS'!$B$10,'11 FORMULAS'!$C$10,""))))</f>
        <v/>
      </c>
      <c r="E19" s="311" t="str">
        <f>+IFERROR(VLOOKUP(B19,Tabla3[],2,0),"")</f>
        <v/>
      </c>
      <c r="F19" s="1"/>
      <c r="G19" s="1"/>
      <c r="H19" s="334"/>
      <c r="I19" s="334"/>
      <c r="J19" s="339" t="str">
        <f>(CONCATENATE(Tabla1[[#This Row],[¿QUÉ? 
IMPACTO]]," ","por",Tabla1[[#This Row],[¿CÓMO?
CAUSA INMEDIATA 
(Iniciar con la palabra 
por)]]," ","a causa de"," ",Tabla1[[#This Row],[¿PORQUÉ?
CAUSA RAÍZ
(Iniciar con 
debido a/a causa de)]]))</f>
        <v xml:space="preserve"> por a causa de </v>
      </c>
      <c r="K19" s="338"/>
    </row>
    <row r="20" spans="1:11" s="6" customFormat="1" ht="93" hidden="1" customHeight="1" x14ac:dyDescent="0.25">
      <c r="A20" s="1" t="s">
        <v>126</v>
      </c>
      <c r="B20" s="2"/>
      <c r="C20" s="2"/>
      <c r="D20" s="160" t="str">
        <f>+IF(B20='11 FORMULAS'!$B$4,'11 FORMULAS'!$C$4,IF(B20='11 FORMULAS'!$B$6,'11 FORMULAS'!$C$6,IF(B20='11 FORMULAS'!$B$8,'11 FORMULAS'!$C$8,IF(B20='11 FORMULAS'!$B$10,'11 FORMULAS'!$C$10,""))))</f>
        <v/>
      </c>
      <c r="E20" s="311" t="str">
        <f>+IFERROR(VLOOKUP(B20,Tabla3[],2,0),"")</f>
        <v/>
      </c>
      <c r="F20" s="1"/>
      <c r="G20" s="1"/>
      <c r="H20" s="334"/>
      <c r="I20" s="334"/>
      <c r="J20" s="339" t="str">
        <f>(CONCATENATE(Tabla1[[#This Row],[¿QUÉ? 
IMPACTO]]," ","por",Tabla1[[#This Row],[¿CÓMO?
CAUSA INMEDIATA 
(Iniciar con la palabra 
por)]]," ","a causa de"," ",Tabla1[[#This Row],[¿PORQUÉ?
CAUSA RAÍZ
(Iniciar con 
debido a/a causa de)]]))</f>
        <v xml:space="preserve"> por a causa de </v>
      </c>
      <c r="K20" s="338"/>
    </row>
    <row r="21" spans="1:11" s="6" customFormat="1" ht="93" hidden="1" customHeight="1" x14ac:dyDescent="0.25">
      <c r="A21" s="1" t="s">
        <v>127</v>
      </c>
      <c r="B21" s="2"/>
      <c r="C21" s="2"/>
      <c r="D21" s="160" t="str">
        <f>+IF(B21='11 FORMULAS'!$B$4,'11 FORMULAS'!$C$4,IF(B21='11 FORMULAS'!$B$6,'11 FORMULAS'!$C$6,IF(B21='11 FORMULAS'!$B$8,'11 FORMULAS'!$C$8,IF(B21='11 FORMULAS'!$B$10,'11 FORMULAS'!$C$10,""))))</f>
        <v/>
      </c>
      <c r="E21" s="311" t="str">
        <f>+IFERROR(VLOOKUP(B21,Tabla3[],2,0),"")</f>
        <v/>
      </c>
      <c r="F21" s="1"/>
      <c r="G21" s="1"/>
      <c r="H21" s="334"/>
      <c r="I21" s="334"/>
      <c r="J21" s="339" t="str">
        <f>(CONCATENATE(Tabla1[[#This Row],[¿QUÉ? 
IMPACTO]]," ","por",Tabla1[[#This Row],[¿CÓMO?
CAUSA INMEDIATA 
(Iniciar con la palabra 
por)]]," ","a causa de"," ",Tabla1[[#This Row],[¿PORQUÉ?
CAUSA RAÍZ
(Iniciar con 
debido a/a causa de)]]))</f>
        <v xml:space="preserve"> por a causa de </v>
      </c>
      <c r="K21" s="338"/>
    </row>
    <row r="22" spans="1:11" s="6" customFormat="1" ht="93" hidden="1" customHeight="1" x14ac:dyDescent="0.25">
      <c r="A22" s="1" t="s">
        <v>128</v>
      </c>
      <c r="B22" s="2"/>
      <c r="C22" s="2"/>
      <c r="D22" s="160" t="str">
        <f>+IF(B22='11 FORMULAS'!$B$4,'11 FORMULAS'!$C$4,IF(B22='11 FORMULAS'!$B$6,'11 FORMULAS'!$C$6,IF(B22='11 FORMULAS'!$B$8,'11 FORMULAS'!$C$8,IF(B22='11 FORMULAS'!$B$10,'11 FORMULAS'!$C$10,""))))</f>
        <v/>
      </c>
      <c r="E22" s="311" t="str">
        <f>+IFERROR(VLOOKUP(B22,Tabla3[],2,0),"")</f>
        <v/>
      </c>
      <c r="F22" s="1"/>
      <c r="G22" s="1"/>
      <c r="H22" s="334"/>
      <c r="I22" s="334"/>
      <c r="J22" s="339" t="str">
        <f>(CONCATENATE(Tabla1[[#This Row],[¿QUÉ? 
IMPACTO]]," ","por",Tabla1[[#This Row],[¿CÓMO?
CAUSA INMEDIATA 
(Iniciar con la palabra 
por)]]," ","a causa de"," ",Tabla1[[#This Row],[¿PORQUÉ?
CAUSA RAÍZ
(Iniciar con 
debido a/a causa de)]]))</f>
        <v xml:space="preserve"> por a causa de </v>
      </c>
      <c r="K22" s="338"/>
    </row>
    <row r="23" spans="1:11" s="6" customFormat="1" ht="93" hidden="1" customHeight="1" x14ac:dyDescent="0.25">
      <c r="A23" s="1" t="s">
        <v>129</v>
      </c>
      <c r="B23" s="2"/>
      <c r="C23" s="2"/>
      <c r="D23" s="160" t="str">
        <f>+IF(B23='11 FORMULAS'!$B$4,'11 FORMULAS'!$C$4,IF(B23='11 FORMULAS'!$B$6,'11 FORMULAS'!$C$6,IF(B23='11 FORMULAS'!$B$8,'11 FORMULAS'!$C$8,IF(B23='11 FORMULAS'!$B$10,'11 FORMULAS'!$C$10,""))))</f>
        <v/>
      </c>
      <c r="E23" s="311" t="str">
        <f>+IFERROR(VLOOKUP(B23,Tabla3[],2,0),"")</f>
        <v/>
      </c>
      <c r="F23" s="1"/>
      <c r="G23" s="1"/>
      <c r="H23" s="334"/>
      <c r="I23" s="334"/>
      <c r="J23" s="339" t="str">
        <f>(CONCATENATE(Tabla1[[#This Row],[¿QUÉ? 
IMPACTO]]," ","por",Tabla1[[#This Row],[¿CÓMO?
CAUSA INMEDIATA 
(Iniciar con la palabra 
por)]]," ","a causa de"," ",Tabla1[[#This Row],[¿PORQUÉ?
CAUSA RAÍZ
(Iniciar con 
debido a/a causa de)]]))</f>
        <v xml:space="preserve"> por a causa de </v>
      </c>
      <c r="K23" s="338"/>
    </row>
    <row r="24" spans="1:11" s="6" customFormat="1" ht="93" hidden="1" customHeight="1" x14ac:dyDescent="0.25">
      <c r="A24" s="1" t="s">
        <v>130</v>
      </c>
      <c r="B24" s="2"/>
      <c r="C24" s="2"/>
      <c r="D24" s="160" t="str">
        <f>+IF(B24='11 FORMULAS'!$B$4,'11 FORMULAS'!$C$4,IF(B24='11 FORMULAS'!$B$6,'11 FORMULAS'!$C$6,IF(B24='11 FORMULAS'!$B$8,'11 FORMULAS'!$C$8,IF(B24='11 FORMULAS'!$B$10,'11 FORMULAS'!$C$10,""))))</f>
        <v/>
      </c>
      <c r="E24" s="311" t="str">
        <f>+IFERROR(VLOOKUP(B24,Tabla3[],2,0),"")</f>
        <v/>
      </c>
      <c r="F24" s="1"/>
      <c r="G24" s="1"/>
      <c r="H24" s="334"/>
      <c r="I24" s="334"/>
      <c r="J24" s="339" t="str">
        <f>(CONCATENATE(Tabla1[[#This Row],[¿QUÉ? 
IMPACTO]]," ","por",Tabla1[[#This Row],[¿CÓMO?
CAUSA INMEDIATA 
(Iniciar con la palabra 
por)]]," ","a causa de"," ",Tabla1[[#This Row],[¿PORQUÉ?
CAUSA RAÍZ
(Iniciar con 
debido a/a causa de)]]))</f>
        <v xml:space="preserve"> por a causa de </v>
      </c>
      <c r="K24" s="338"/>
    </row>
    <row r="25" spans="1:11" s="6" customFormat="1" ht="93" hidden="1" customHeight="1" x14ac:dyDescent="0.25">
      <c r="A25" s="1" t="s">
        <v>131</v>
      </c>
      <c r="B25" s="2"/>
      <c r="C25" s="2"/>
      <c r="D25" s="160" t="str">
        <f>+IF(B25='11 FORMULAS'!$B$4,'11 FORMULAS'!$C$4,IF(B25='11 FORMULAS'!$B$6,'11 FORMULAS'!$C$6,IF(B25='11 FORMULAS'!$B$8,'11 FORMULAS'!$C$8,IF(B25='11 FORMULAS'!$B$10,'11 FORMULAS'!$C$10,""))))</f>
        <v/>
      </c>
      <c r="E25" s="311" t="str">
        <f>+IFERROR(VLOOKUP(B25,Tabla3[],2,0),"")</f>
        <v/>
      </c>
      <c r="F25" s="1"/>
      <c r="G25" s="1"/>
      <c r="H25" s="334"/>
      <c r="I25" s="334"/>
      <c r="J25" s="339" t="str">
        <f>(CONCATENATE(Tabla1[[#This Row],[¿QUÉ? 
IMPACTO]]," ","por",Tabla1[[#This Row],[¿CÓMO?
CAUSA INMEDIATA 
(Iniciar con la palabra 
por)]]," ","a causa de"," ",Tabla1[[#This Row],[¿PORQUÉ?
CAUSA RAÍZ
(Iniciar con 
debido a/a causa de)]]))</f>
        <v xml:space="preserve"> por a causa de </v>
      </c>
      <c r="K25" s="338"/>
    </row>
    <row r="26" spans="1:11" s="6" customFormat="1" ht="93" hidden="1" customHeight="1" x14ac:dyDescent="0.25">
      <c r="A26" s="1" t="s">
        <v>132</v>
      </c>
      <c r="B26" s="2"/>
      <c r="C26" s="2"/>
      <c r="D26" s="160" t="str">
        <f>+IF(B26='11 FORMULAS'!$B$4,'11 FORMULAS'!$C$4,IF(B26='11 FORMULAS'!$B$6,'11 FORMULAS'!$C$6,IF(B26='11 FORMULAS'!$B$8,'11 FORMULAS'!$C$8,IF(B26='11 FORMULAS'!$B$10,'11 FORMULAS'!$C$10,""))))</f>
        <v/>
      </c>
      <c r="E26" s="311" t="str">
        <f>+IFERROR(VLOOKUP(B26,Tabla3[],2,0),"")</f>
        <v/>
      </c>
      <c r="F26" s="1"/>
      <c r="G26" s="1"/>
      <c r="H26" s="334"/>
      <c r="I26" s="334"/>
      <c r="J26" s="339" t="str">
        <f>(CONCATENATE(Tabla1[[#This Row],[¿QUÉ? 
IMPACTO]]," ","por",Tabla1[[#This Row],[¿CÓMO?
CAUSA INMEDIATA 
(Iniciar con la palabra 
por)]]," ","a causa de"," ",Tabla1[[#This Row],[¿PORQUÉ?
CAUSA RAÍZ
(Iniciar con 
debido a/a causa de)]]))</f>
        <v xml:space="preserve"> por a causa de </v>
      </c>
      <c r="K26" s="338"/>
    </row>
    <row r="27" spans="1:11" s="6" customFormat="1" ht="93" hidden="1" customHeight="1" x14ac:dyDescent="0.25">
      <c r="A27" s="1" t="s">
        <v>133</v>
      </c>
      <c r="B27" s="2"/>
      <c r="C27" s="2"/>
      <c r="D27" s="160" t="str">
        <f>+IF(B27='11 FORMULAS'!$B$4,'11 FORMULAS'!$C$4,IF(B27='11 FORMULAS'!$B$6,'11 FORMULAS'!$C$6,IF(B27='11 FORMULAS'!$B$8,'11 FORMULAS'!$C$8,IF(B27='11 FORMULAS'!$B$10,'11 FORMULAS'!$C$10,""))))</f>
        <v/>
      </c>
      <c r="E27" s="311" t="str">
        <f>+IFERROR(VLOOKUP(B27,Tabla3[],2,0),"")</f>
        <v/>
      </c>
      <c r="F27" s="1"/>
      <c r="G27" s="1"/>
      <c r="H27" s="334"/>
      <c r="I27" s="334"/>
      <c r="J27" s="339" t="str">
        <f>(CONCATENATE(Tabla1[[#This Row],[¿QUÉ? 
IMPACTO]]," ","por",Tabla1[[#This Row],[¿CÓMO?
CAUSA INMEDIATA 
(Iniciar con la palabra 
por)]]," ","a causa de"," ",Tabla1[[#This Row],[¿PORQUÉ?
CAUSA RAÍZ
(Iniciar con 
debido a/a causa de)]]))</f>
        <v xml:space="preserve"> por a causa de </v>
      </c>
      <c r="K27" s="338"/>
    </row>
    <row r="28" spans="1:11" s="6" customFormat="1" ht="93" hidden="1" customHeight="1" x14ac:dyDescent="0.25">
      <c r="A28" s="1" t="s">
        <v>134</v>
      </c>
      <c r="B28" s="2"/>
      <c r="C28" s="2"/>
      <c r="D28" s="160" t="str">
        <f>+IF(B28='11 FORMULAS'!$B$4,'11 FORMULAS'!$C$4,IF(B28='11 FORMULAS'!$B$6,'11 FORMULAS'!$C$6,IF(B28='11 FORMULAS'!$B$8,'11 FORMULAS'!$C$8,IF(B28='11 FORMULAS'!$B$10,'11 FORMULAS'!$C$10,""))))</f>
        <v/>
      </c>
      <c r="E28" s="311" t="str">
        <f>+IFERROR(VLOOKUP(B28,Tabla3[],2,0),"")</f>
        <v/>
      </c>
      <c r="F28" s="1"/>
      <c r="G28" s="1"/>
      <c r="H28" s="335"/>
      <c r="I28" s="335"/>
      <c r="J28" s="339" t="str">
        <f>(CONCATENATE(Tabla1[[#This Row],[¿QUÉ? 
IMPACTO]]," ","por",Tabla1[[#This Row],[¿CÓMO?
CAUSA INMEDIATA 
(Iniciar con la palabra 
por)]]," ","a causa de"," ",Tabla1[[#This Row],[¿PORQUÉ?
CAUSA RAÍZ
(Iniciar con 
debido a/a causa de)]]))</f>
        <v xml:space="preserve"> por a causa de </v>
      </c>
      <c r="K28" s="338"/>
    </row>
    <row r="29" spans="1:11" s="6" customFormat="1" ht="18" hidden="1" x14ac:dyDescent="0.25">
      <c r="F29" s="7"/>
      <c r="G29" s="7"/>
      <c r="H29" s="7"/>
      <c r="I29" s="7"/>
      <c r="J29" s="8"/>
    </row>
    <row r="30" spans="1:11" hidden="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sheet="1" formatCells="0" formatColumns="0" formatRows="0" sort="0" autoFilter="0" pivotTables="0"/>
  <mergeCells count="6">
    <mergeCell ref="C2:K2"/>
    <mergeCell ref="B7:E7"/>
    <mergeCell ref="A7:A8"/>
    <mergeCell ref="A1:K1"/>
    <mergeCell ref="A3:K3"/>
    <mergeCell ref="G4:H4"/>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5546875" defaultRowHeight="12.75" x14ac:dyDescent="0.2"/>
  <cols>
    <col min="1" max="1" width="35.42578125" style="136" customWidth="1"/>
    <col min="2" max="2" width="47.140625" style="136" customWidth="1"/>
    <col min="3" max="3" width="42.42578125" style="136" customWidth="1"/>
    <col min="4" max="4" width="34.42578125" style="136" customWidth="1"/>
    <col min="5" max="5" width="27.140625" style="136" customWidth="1"/>
    <col min="6" max="6" width="45.42578125" style="136" customWidth="1"/>
    <col min="7" max="7" width="22.140625" style="136" customWidth="1"/>
    <col min="8" max="8" width="20.85546875" style="136" customWidth="1"/>
    <col min="9" max="9" width="46.28515625" style="136" customWidth="1"/>
    <col min="10" max="10" width="10.85546875" style="136"/>
    <col min="11" max="11" width="20.85546875" style="136" customWidth="1"/>
    <col min="12" max="12" width="14.42578125" style="136" customWidth="1"/>
    <col min="13" max="14" width="21" style="136" customWidth="1"/>
    <col min="15" max="16" width="10.85546875" style="136"/>
    <col min="17" max="17" width="14.85546875" style="136" customWidth="1"/>
    <col min="18" max="18" width="10.85546875" style="136"/>
    <col min="19" max="19" width="16.42578125" style="136" customWidth="1"/>
    <col min="20" max="20" width="10.85546875" style="136"/>
    <col min="21" max="21" width="30.140625" style="136" customWidth="1"/>
    <col min="22" max="16384" width="10.85546875" style="136"/>
  </cols>
  <sheetData>
    <row r="1" spans="1:23" ht="25.5" customHeight="1" x14ac:dyDescent="0.2">
      <c r="A1" s="452" t="s">
        <v>135</v>
      </c>
      <c r="B1" s="452"/>
      <c r="E1" s="451" t="s">
        <v>136</v>
      </c>
      <c r="F1" s="451"/>
      <c r="G1" s="451"/>
      <c r="H1" s="451"/>
    </row>
    <row r="2" spans="1:23" ht="48.95" customHeight="1" x14ac:dyDescent="0.2">
      <c r="B2" s="148" t="s">
        <v>102</v>
      </c>
      <c r="C2" s="148"/>
      <c r="E2" s="450" t="s">
        <v>137</v>
      </c>
      <c r="F2" s="450"/>
      <c r="G2" s="450"/>
      <c r="H2" s="450"/>
      <c r="I2" s="450"/>
      <c r="K2" s="450" t="s">
        <v>138</v>
      </c>
      <c r="L2" s="450"/>
      <c r="M2" s="450"/>
      <c r="N2" s="450"/>
      <c r="P2" s="450" t="s">
        <v>53</v>
      </c>
      <c r="Q2" s="450"/>
      <c r="S2" s="137" t="s">
        <v>71</v>
      </c>
      <c r="U2" s="137" t="s">
        <v>139</v>
      </c>
      <c r="W2" s="76" t="s">
        <v>83</v>
      </c>
    </row>
    <row r="3" spans="1:23" ht="29.25" thickBot="1" x14ac:dyDescent="0.25">
      <c r="A3" s="138" t="s">
        <v>140</v>
      </c>
      <c r="B3" s="148" t="s">
        <v>140</v>
      </c>
      <c r="C3" s="148" t="s">
        <v>102</v>
      </c>
      <c r="E3" s="139" t="s">
        <v>49</v>
      </c>
      <c r="F3" s="139" t="s">
        <v>51</v>
      </c>
      <c r="H3" s="139" t="s">
        <v>54</v>
      </c>
      <c r="I3" s="139" t="s">
        <v>56</v>
      </c>
      <c r="K3" s="137" t="s">
        <v>141</v>
      </c>
      <c r="L3" s="137" t="s">
        <v>142</v>
      </c>
      <c r="M3" s="137" t="s">
        <v>143</v>
      </c>
      <c r="N3" s="137" t="s">
        <v>144</v>
      </c>
      <c r="P3" s="143" t="s">
        <v>49</v>
      </c>
      <c r="Q3" s="143" t="s">
        <v>145</v>
      </c>
      <c r="S3" s="138" t="s">
        <v>146</v>
      </c>
      <c r="U3" s="11" t="s">
        <v>147</v>
      </c>
      <c r="W3" s="53" t="s">
        <v>148</v>
      </c>
    </row>
    <row r="4" spans="1:23" ht="38.25" x14ac:dyDescent="0.2">
      <c r="A4" s="147" t="s">
        <v>149</v>
      </c>
      <c r="B4" s="150" t="s">
        <v>149</v>
      </c>
      <c r="C4" s="161" t="s">
        <v>150</v>
      </c>
      <c r="E4" s="138" t="s">
        <v>151</v>
      </c>
      <c r="F4" s="140">
        <v>0.25</v>
      </c>
      <c r="H4" s="138" t="s">
        <v>152</v>
      </c>
      <c r="I4" s="140">
        <v>0.25</v>
      </c>
      <c r="K4" s="304" t="s">
        <v>153</v>
      </c>
      <c r="L4" s="138" t="s">
        <v>154</v>
      </c>
      <c r="M4" s="138" t="s">
        <v>155</v>
      </c>
      <c r="N4" s="138" t="s">
        <v>156</v>
      </c>
      <c r="P4" s="138" t="s">
        <v>151</v>
      </c>
      <c r="Q4" s="185" t="s">
        <v>157</v>
      </c>
      <c r="S4" s="138" t="s">
        <v>158</v>
      </c>
      <c r="U4" s="11" t="s">
        <v>159</v>
      </c>
      <c r="W4" s="53" t="s">
        <v>160</v>
      </c>
    </row>
    <row r="5" spans="1:23" ht="77.25" thickBot="1" x14ac:dyDescent="0.25">
      <c r="A5" s="147" t="s">
        <v>161</v>
      </c>
      <c r="B5" s="154"/>
      <c r="C5" s="162"/>
      <c r="E5" s="138" t="s">
        <v>162</v>
      </c>
      <c r="F5" s="140">
        <v>0.15</v>
      </c>
      <c r="H5" s="138" t="s">
        <v>163</v>
      </c>
      <c r="I5" s="140">
        <v>0.15</v>
      </c>
      <c r="K5" s="304" t="s">
        <v>164</v>
      </c>
      <c r="L5" s="138" t="s">
        <v>165</v>
      </c>
      <c r="M5" s="138" t="s">
        <v>166</v>
      </c>
      <c r="N5" s="138" t="s">
        <v>167</v>
      </c>
      <c r="P5" s="138" t="s">
        <v>162</v>
      </c>
      <c r="Q5" s="185" t="s">
        <v>157</v>
      </c>
      <c r="S5" s="138" t="s">
        <v>168</v>
      </c>
      <c r="U5" s="11" t="s">
        <v>169</v>
      </c>
      <c r="W5" s="53" t="s">
        <v>170</v>
      </c>
    </row>
    <row r="6" spans="1:23" ht="28.5" x14ac:dyDescent="0.2">
      <c r="A6" s="147" t="s">
        <v>171</v>
      </c>
      <c r="B6" s="156" t="s">
        <v>161</v>
      </c>
      <c r="C6" s="163" t="s">
        <v>172</v>
      </c>
      <c r="E6" s="138" t="s">
        <v>173</v>
      </c>
      <c r="F6" s="140">
        <v>0.1</v>
      </c>
      <c r="H6" s="138"/>
      <c r="I6" s="138"/>
      <c r="K6" s="304" t="s">
        <v>174</v>
      </c>
      <c r="L6" s="138"/>
      <c r="M6" s="138"/>
      <c r="N6" s="138" t="s">
        <v>175</v>
      </c>
      <c r="P6" s="138" t="s">
        <v>173</v>
      </c>
      <c r="Q6" s="185" t="s">
        <v>176</v>
      </c>
      <c r="S6" s="138" t="s">
        <v>177</v>
      </c>
      <c r="U6" s="11" t="s">
        <v>178</v>
      </c>
      <c r="W6" s="138"/>
    </row>
    <row r="7" spans="1:23" ht="13.5" thickBot="1" x14ac:dyDescent="0.25">
      <c r="A7" s="147" t="s">
        <v>179</v>
      </c>
      <c r="B7" s="154"/>
      <c r="C7" s="162"/>
      <c r="E7" s="138"/>
      <c r="F7" s="140"/>
      <c r="P7" s="141"/>
      <c r="S7" s="138" t="s">
        <v>180</v>
      </c>
    </row>
    <row r="8" spans="1:23" x14ac:dyDescent="0.2">
      <c r="A8" s="147" t="s">
        <v>181</v>
      </c>
      <c r="B8" s="156" t="s">
        <v>171</v>
      </c>
      <c r="C8" s="163" t="s">
        <v>182</v>
      </c>
      <c r="S8" s="138"/>
    </row>
    <row r="9" spans="1:23" ht="26.25" thickBot="1" x14ac:dyDescent="0.25">
      <c r="A9" s="147" t="s">
        <v>183</v>
      </c>
      <c r="B9" s="158"/>
      <c r="C9" s="162"/>
    </row>
    <row r="10" spans="1:23" x14ac:dyDescent="0.2">
      <c r="A10" s="147" t="s">
        <v>184</v>
      </c>
      <c r="B10" s="156" t="s">
        <v>179</v>
      </c>
      <c r="C10" s="163" t="s">
        <v>185</v>
      </c>
    </row>
    <row r="11" spans="1:23" ht="14.25" customHeight="1" thickBot="1" x14ac:dyDescent="0.25">
      <c r="A11" s="149"/>
      <c r="B11" s="154"/>
      <c r="C11" s="162"/>
    </row>
    <row r="12" spans="1:23" ht="14.25" customHeight="1" x14ac:dyDescent="0.2">
      <c r="B12" s="156" t="s">
        <v>181</v>
      </c>
      <c r="C12" s="157" t="s">
        <v>150</v>
      </c>
    </row>
    <row r="13" spans="1:23" ht="14.25" customHeight="1" x14ac:dyDescent="0.2">
      <c r="A13" s="302" t="s">
        <v>107</v>
      </c>
      <c r="B13" s="153"/>
      <c r="C13" s="152" t="s">
        <v>172</v>
      </c>
    </row>
    <row r="14" spans="1:23" ht="14.25" customHeight="1" x14ac:dyDescent="0.2">
      <c r="A14" s="303" t="s">
        <v>186</v>
      </c>
      <c r="B14" s="151"/>
      <c r="C14" s="152" t="s">
        <v>182</v>
      </c>
    </row>
    <row r="15" spans="1:23" ht="14.25" customHeight="1" x14ac:dyDescent="0.2">
      <c r="A15" s="303" t="s">
        <v>114</v>
      </c>
      <c r="B15" s="151"/>
      <c r="C15" s="152" t="s">
        <v>185</v>
      </c>
    </row>
    <row r="16" spans="1:23" ht="14.25" customHeight="1" x14ac:dyDescent="0.2">
      <c r="A16" s="303" t="s">
        <v>187</v>
      </c>
      <c r="B16" s="151"/>
      <c r="C16" s="152" t="s">
        <v>188</v>
      </c>
    </row>
    <row r="17" spans="1:5" ht="14.25" customHeight="1" thickBot="1" x14ac:dyDescent="0.25">
      <c r="A17" s="303" t="s">
        <v>189</v>
      </c>
      <c r="B17" s="154"/>
      <c r="C17" s="155"/>
    </row>
    <row r="18" spans="1:5" x14ac:dyDescent="0.2">
      <c r="A18" s="303" t="s">
        <v>190</v>
      </c>
      <c r="B18" s="156" t="s">
        <v>183</v>
      </c>
      <c r="C18" s="157" t="s">
        <v>150</v>
      </c>
    </row>
    <row r="19" spans="1:5" ht="14.25" customHeight="1" x14ac:dyDescent="0.2">
      <c r="B19" s="151"/>
      <c r="C19" s="152" t="s">
        <v>172</v>
      </c>
    </row>
    <row r="20" spans="1:5" ht="14.25" customHeight="1" x14ac:dyDescent="0.2">
      <c r="B20" s="151"/>
      <c r="C20" s="152" t="s">
        <v>182</v>
      </c>
    </row>
    <row r="21" spans="1:5" ht="14.25" customHeight="1" x14ac:dyDescent="0.2">
      <c r="B21" s="151"/>
      <c r="C21" s="152" t="s">
        <v>185</v>
      </c>
    </row>
    <row r="22" spans="1:5" ht="14.25" customHeight="1" x14ac:dyDescent="0.2">
      <c r="B22" s="151"/>
      <c r="C22" s="152" t="s">
        <v>188</v>
      </c>
    </row>
    <row r="23" spans="1:5" ht="14.25" customHeight="1" thickBot="1" x14ac:dyDescent="0.25">
      <c r="B23" s="158"/>
      <c r="C23" s="159"/>
    </row>
    <row r="24" spans="1:5" ht="14.25" customHeight="1" x14ac:dyDescent="0.2">
      <c r="B24" s="156" t="s">
        <v>184</v>
      </c>
      <c r="C24" s="157" t="s">
        <v>188</v>
      </c>
    </row>
    <row r="25" spans="1:5" ht="14.25" customHeight="1" x14ac:dyDescent="0.2">
      <c r="B25" s="151"/>
      <c r="C25" s="152" t="s">
        <v>172</v>
      </c>
    </row>
    <row r="26" spans="1:5" ht="14.25" customHeight="1" thickBot="1" x14ac:dyDescent="0.25">
      <c r="B26" s="154"/>
      <c r="C26" s="155"/>
    </row>
    <row r="30" spans="1:5" x14ac:dyDescent="0.2">
      <c r="A30" s="302"/>
      <c r="B30" s="302"/>
      <c r="C30" s="302"/>
      <c r="D30" s="302"/>
      <c r="E30" s="302"/>
    </row>
    <row r="31" spans="1:5" x14ac:dyDescent="0.2">
      <c r="A31" s="136" t="s">
        <v>186</v>
      </c>
      <c r="B31" s="136" t="s">
        <v>114</v>
      </c>
      <c r="C31" s="136" t="s">
        <v>191</v>
      </c>
      <c r="D31" s="136" t="s">
        <v>192</v>
      </c>
      <c r="E31" s="136" t="s">
        <v>193</v>
      </c>
    </row>
    <row r="32" spans="1:5" ht="25.5" x14ac:dyDescent="0.2">
      <c r="A32" s="313" t="s">
        <v>194</v>
      </c>
      <c r="B32" s="136" t="s">
        <v>195</v>
      </c>
      <c r="C32" s="136" t="s">
        <v>196</v>
      </c>
      <c r="D32" s="136" t="s">
        <v>197</v>
      </c>
      <c r="E32" s="136" t="s">
        <v>197</v>
      </c>
    </row>
    <row r="33" spans="1:9" ht="25.5" x14ac:dyDescent="0.2">
      <c r="A33" s="313" t="s">
        <v>198</v>
      </c>
      <c r="B33" s="136" t="s">
        <v>115</v>
      </c>
      <c r="C33" s="136" t="s">
        <v>199</v>
      </c>
      <c r="D33" s="136" t="s">
        <v>200</v>
      </c>
      <c r="E33" s="136" t="s">
        <v>200</v>
      </c>
    </row>
    <row r="34" spans="1:9" ht="25.5" x14ac:dyDescent="0.2">
      <c r="A34" s="313" t="s">
        <v>201</v>
      </c>
      <c r="B34" s="136" t="s">
        <v>202</v>
      </c>
      <c r="C34" s="136" t="s">
        <v>203</v>
      </c>
      <c r="D34" s="136" t="s">
        <v>204</v>
      </c>
      <c r="E34" s="136" t="s">
        <v>204</v>
      </c>
    </row>
    <row r="35" spans="1:9" ht="25.5" x14ac:dyDescent="0.2">
      <c r="B35" s="136" t="s">
        <v>205</v>
      </c>
    </row>
    <row r="37" spans="1:9" x14ac:dyDescent="0.2">
      <c r="H37" s="136" t="s">
        <v>103</v>
      </c>
      <c r="I37" s="136" t="s">
        <v>206</v>
      </c>
    </row>
    <row r="38" spans="1:9" ht="102" x14ac:dyDescent="0.2">
      <c r="A38" s="319" t="s">
        <v>207</v>
      </c>
      <c r="B38" s="319" t="s">
        <v>112</v>
      </c>
      <c r="C38" s="319" t="s">
        <v>182</v>
      </c>
      <c r="D38" s="319" t="s">
        <v>208</v>
      </c>
      <c r="E38" s="319" t="s">
        <v>188</v>
      </c>
      <c r="F38" s="319" t="s">
        <v>209</v>
      </c>
      <c r="H38" s="136" t="s">
        <v>207</v>
      </c>
      <c r="I38" s="136" t="s">
        <v>210</v>
      </c>
    </row>
    <row r="39" spans="1:9" ht="63.75" x14ac:dyDescent="0.2">
      <c r="A39" s="315" t="s">
        <v>211</v>
      </c>
      <c r="B39" s="316" t="s">
        <v>212</v>
      </c>
      <c r="C39" s="316" t="s">
        <v>213</v>
      </c>
      <c r="D39" s="315" t="s">
        <v>214</v>
      </c>
      <c r="E39" s="315" t="s">
        <v>215</v>
      </c>
      <c r="F39" s="317" t="s">
        <v>216</v>
      </c>
      <c r="H39" s="136" t="s">
        <v>112</v>
      </c>
      <c r="I39" s="136" t="s">
        <v>217</v>
      </c>
    </row>
    <row r="40" spans="1:9" ht="38.25" x14ac:dyDescent="0.2">
      <c r="A40" s="315" t="s">
        <v>218</v>
      </c>
      <c r="B40" s="316" t="s">
        <v>113</v>
      </c>
      <c r="C40" s="316" t="s">
        <v>219</v>
      </c>
      <c r="D40" s="318" t="s">
        <v>220</v>
      </c>
      <c r="E40" s="318" t="s">
        <v>221</v>
      </c>
      <c r="F40" s="315" t="s">
        <v>222</v>
      </c>
      <c r="H40" s="136" t="s">
        <v>182</v>
      </c>
      <c r="I40" s="136" t="s">
        <v>223</v>
      </c>
    </row>
    <row r="41" spans="1:9" ht="28.5" x14ac:dyDescent="0.2">
      <c r="A41" s="315" t="s">
        <v>224</v>
      </c>
      <c r="B41" s="316" t="s">
        <v>225</v>
      </c>
      <c r="C41" s="316" t="s">
        <v>226</v>
      </c>
      <c r="D41" s="318" t="s">
        <v>227</v>
      </c>
      <c r="E41" s="318" t="s">
        <v>228</v>
      </c>
      <c r="F41" s="318" t="s">
        <v>229</v>
      </c>
      <c r="H41" s="136" t="s">
        <v>208</v>
      </c>
      <c r="I41" s="136" t="s">
        <v>230</v>
      </c>
    </row>
    <row r="42" spans="1:9" ht="28.5" x14ac:dyDescent="0.2">
      <c r="A42" s="315" t="s">
        <v>231</v>
      </c>
      <c r="B42" s="316" t="s">
        <v>232</v>
      </c>
      <c r="C42" s="316" t="s">
        <v>233</v>
      </c>
      <c r="D42" s="318" t="s">
        <v>234</v>
      </c>
      <c r="E42" s="318" t="s">
        <v>235</v>
      </c>
      <c r="F42" s="318" t="s">
        <v>236</v>
      </c>
      <c r="H42" s="136" t="s">
        <v>188</v>
      </c>
      <c r="I42" s="136" t="s">
        <v>237</v>
      </c>
    </row>
    <row r="43" spans="1:9" ht="25.5" x14ac:dyDescent="0.2">
      <c r="A43" s="315" t="s">
        <v>238</v>
      </c>
      <c r="B43" s="314"/>
      <c r="C43" s="314"/>
      <c r="D43" s="318" t="s">
        <v>239</v>
      </c>
      <c r="E43" s="314"/>
      <c r="F43" s="314"/>
      <c r="H43" s="136" t="s">
        <v>209</v>
      </c>
      <c r="I43" s="136" t="s">
        <v>240</v>
      </c>
    </row>
    <row r="44" spans="1:9" ht="28.5" x14ac:dyDescent="0.2">
      <c r="A44" s="315" t="s">
        <v>241</v>
      </c>
      <c r="B44" s="314"/>
      <c r="C44" s="314"/>
      <c r="D44" s="314"/>
      <c r="E44" s="314"/>
      <c r="F44" s="314"/>
    </row>
    <row r="45" spans="1:9" ht="42.75" x14ac:dyDescent="0.2">
      <c r="A45" s="315" t="s">
        <v>242</v>
      </c>
      <c r="B45" s="314"/>
      <c r="C45" s="314"/>
      <c r="D45" s="314"/>
      <c r="E45" s="314"/>
      <c r="F45" s="314"/>
    </row>
    <row r="46" spans="1:9" ht="28.5" x14ac:dyDescent="0.2">
      <c r="A46" s="315" t="s">
        <v>243</v>
      </c>
      <c r="B46" s="314"/>
      <c r="C46" s="314"/>
      <c r="D46" s="314"/>
      <c r="E46" s="314"/>
      <c r="F46" s="314"/>
    </row>
    <row r="47" spans="1:9" ht="28.5" x14ac:dyDescent="0.2">
      <c r="A47" s="315" t="s">
        <v>244</v>
      </c>
      <c r="B47" s="314"/>
      <c r="C47" s="314"/>
      <c r="D47" s="314"/>
      <c r="E47" s="314"/>
      <c r="F47" s="314"/>
    </row>
    <row r="50" spans="1:4" x14ac:dyDescent="0.2">
      <c r="A50" s="445" t="s">
        <v>245</v>
      </c>
      <c r="B50" s="446"/>
      <c r="C50" s="321" t="s">
        <v>246</v>
      </c>
      <c r="D50" s="321" t="s">
        <v>247</v>
      </c>
    </row>
    <row r="51" spans="1:4" ht="14.25" x14ac:dyDescent="0.2">
      <c r="A51" s="453" t="s">
        <v>248</v>
      </c>
      <c r="B51" s="320" t="s">
        <v>151</v>
      </c>
      <c r="C51" s="322">
        <v>0.25</v>
      </c>
      <c r="D51" s="322" t="s">
        <v>157</v>
      </c>
    </row>
    <row r="52" spans="1:4" ht="14.25" x14ac:dyDescent="0.2">
      <c r="A52" s="454"/>
      <c r="B52" s="320" t="s">
        <v>162</v>
      </c>
      <c r="C52" s="322">
        <v>0.15</v>
      </c>
      <c r="D52" s="322" t="s">
        <v>157</v>
      </c>
    </row>
    <row r="53" spans="1:4" ht="14.25" x14ac:dyDescent="0.2">
      <c r="A53" s="455"/>
      <c r="B53" s="320" t="s">
        <v>173</v>
      </c>
      <c r="C53" s="322">
        <v>0.1</v>
      </c>
      <c r="D53" s="322" t="s">
        <v>176</v>
      </c>
    </row>
    <row r="54" spans="1:4" ht="14.25" x14ac:dyDescent="0.2">
      <c r="A54" s="320" t="s">
        <v>249</v>
      </c>
      <c r="B54" s="320" t="s">
        <v>152</v>
      </c>
      <c r="C54" s="322">
        <v>0.25</v>
      </c>
    </row>
    <row r="55" spans="1:4" ht="23.25" x14ac:dyDescent="0.2">
      <c r="A55" s="320" t="s">
        <v>250</v>
      </c>
      <c r="B55" s="320" t="s">
        <v>163</v>
      </c>
      <c r="C55" s="322">
        <v>0.15</v>
      </c>
    </row>
    <row r="58" spans="1:4" ht="15" x14ac:dyDescent="0.25">
      <c r="A58" t="s">
        <v>251</v>
      </c>
      <c r="B58"/>
      <c r="C58"/>
    </row>
    <row r="59" spans="1:4" x14ac:dyDescent="0.2">
      <c r="A59" s="445" t="s">
        <v>245</v>
      </c>
      <c r="B59" s="446"/>
      <c r="C59" s="325" t="s">
        <v>206</v>
      </c>
    </row>
    <row r="60" spans="1:4" ht="80.45" customHeight="1" x14ac:dyDescent="0.2">
      <c r="A60" s="447" t="s">
        <v>141</v>
      </c>
      <c r="B60" s="315" t="s">
        <v>153</v>
      </c>
      <c r="C60" s="315" t="s">
        <v>252</v>
      </c>
    </row>
    <row r="61" spans="1:4" ht="34.5" customHeight="1" x14ac:dyDescent="0.2">
      <c r="A61" s="448"/>
      <c r="B61" s="315" t="s">
        <v>164</v>
      </c>
      <c r="C61" s="315" t="s">
        <v>253</v>
      </c>
    </row>
    <row r="62" spans="1:4" ht="34.5" customHeight="1" x14ac:dyDescent="0.2">
      <c r="A62" s="449"/>
      <c r="B62" s="315" t="s">
        <v>174</v>
      </c>
      <c r="C62" s="315" t="s">
        <v>254</v>
      </c>
    </row>
    <row r="63" spans="1:4" ht="12.75" customHeight="1" x14ac:dyDescent="0.2">
      <c r="A63" s="315" t="s">
        <v>142</v>
      </c>
      <c r="B63" s="315" t="s">
        <v>255</v>
      </c>
      <c r="C63" s="315" t="s">
        <v>256</v>
      </c>
    </row>
    <row r="64" spans="1:4" ht="14.25" x14ac:dyDescent="0.2">
      <c r="A64" s="315"/>
      <c r="B64" s="315" t="s">
        <v>257</v>
      </c>
      <c r="C64" s="315"/>
    </row>
    <row r="65" spans="1:3" ht="14.25" x14ac:dyDescent="0.2">
      <c r="A65" s="315"/>
      <c r="B65" s="315" t="s">
        <v>258</v>
      </c>
      <c r="C65" s="315"/>
    </row>
    <row r="66" spans="1:3" ht="14.25" x14ac:dyDescent="0.2">
      <c r="A66" s="315"/>
      <c r="B66" s="315" t="s">
        <v>259</v>
      </c>
      <c r="C66" s="315"/>
    </row>
    <row r="67" spans="1:3" ht="14.25" x14ac:dyDescent="0.2">
      <c r="A67" s="315"/>
      <c r="B67" s="315" t="s">
        <v>260</v>
      </c>
      <c r="C67" s="315"/>
    </row>
    <row r="68" spans="1:3" ht="12.75" customHeight="1" x14ac:dyDescent="0.2">
      <c r="A68" s="315" t="s">
        <v>261</v>
      </c>
      <c r="B68" s="315" t="s">
        <v>155</v>
      </c>
      <c r="C68" s="315" t="s">
        <v>262</v>
      </c>
    </row>
    <row r="69" spans="1:3" ht="14.25" x14ac:dyDescent="0.2">
      <c r="A69" s="315"/>
      <c r="B69" s="315" t="s">
        <v>166</v>
      </c>
      <c r="C69" s="315"/>
    </row>
    <row r="70" spans="1:3" ht="38.25" x14ac:dyDescent="0.2">
      <c r="A70" s="315" t="s">
        <v>263</v>
      </c>
      <c r="B70" s="315" t="s">
        <v>156</v>
      </c>
      <c r="C70" s="315" t="s">
        <v>264</v>
      </c>
    </row>
    <row r="71" spans="1:3" ht="69" customHeight="1" x14ac:dyDescent="0.2">
      <c r="A71" s="315"/>
      <c r="B71" s="315" t="s">
        <v>265</v>
      </c>
      <c r="C71" s="315" t="s">
        <v>266</v>
      </c>
    </row>
    <row r="72" spans="1:3" ht="34.5" customHeight="1" x14ac:dyDescent="0.2">
      <c r="A72" s="315"/>
      <c r="B72" s="315" t="s">
        <v>175</v>
      </c>
      <c r="C72" s="315" t="s">
        <v>267</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zoomScale="85" zoomScaleNormal="85" zoomScaleSheetLayoutView="70" workbookViewId="0">
      <pane ySplit="8" topLeftCell="A12" activePane="bottomLeft" state="frozen"/>
      <selection pane="bottomLeft" activeCell="B13" sqref="B13"/>
    </sheetView>
  </sheetViews>
  <sheetFormatPr baseColWidth="10" defaultColWidth="14.42578125" defaultRowHeight="14.25" x14ac:dyDescent="0.25"/>
  <cols>
    <col min="1" max="1" width="15.42578125" style="4" customWidth="1"/>
    <col min="2" max="2" width="59.42578125" style="38" customWidth="1"/>
    <col min="3" max="3" width="28.42578125" style="38" customWidth="1"/>
    <col min="4" max="4" width="21.140625" style="4" customWidth="1"/>
    <col min="5" max="5" width="14" style="14" customWidth="1"/>
    <col min="6" max="6" width="14.42578125" style="4" customWidth="1"/>
    <col min="7" max="7" width="13.42578125" style="14" customWidth="1"/>
    <col min="8" max="8" width="11.140625" style="14" customWidth="1"/>
    <col min="9" max="9" width="10.42578125" style="14" customWidth="1"/>
    <col min="10" max="10" width="32.28515625" style="14" customWidth="1"/>
    <col min="11" max="12" width="10.140625" style="14" customWidth="1"/>
    <col min="13" max="13" width="9.42578125" style="207" customWidth="1"/>
    <col min="14" max="14" width="11" style="207" bestFit="1" customWidth="1"/>
    <col min="15" max="15" width="8" style="4" customWidth="1"/>
    <col min="16" max="16" width="21.42578125" style="4" customWidth="1"/>
    <col min="17" max="17" width="32.85546875" style="4" customWidth="1"/>
    <col min="18" max="18" width="9.42578125" style="38" customWidth="1"/>
    <col min="19" max="19" width="8.85546875" style="38" customWidth="1"/>
    <col min="20" max="20" width="17.8554687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63"/>
      <c r="B1" s="464" t="str">
        <f>+'2 CONTEXTO E IDENTIFICACIÓN'!A1</f>
        <v>MAPA DE RIESGOS</v>
      </c>
      <c r="C1" s="475"/>
      <c r="D1" s="476"/>
      <c r="E1" s="13"/>
      <c r="G1" s="13"/>
      <c r="H1" s="13"/>
      <c r="I1" s="13"/>
      <c r="J1" s="13"/>
      <c r="K1" s="13"/>
      <c r="L1" s="13"/>
      <c r="M1" s="202"/>
      <c r="N1" s="202"/>
    </row>
    <row r="2" spans="1:25" s="3" customFormat="1" ht="32.25" customHeight="1" x14ac:dyDescent="0.2">
      <c r="A2" s="463"/>
      <c r="B2" s="464"/>
      <c r="C2" s="39" t="str">
        <f>+'2 CONTEXTO E IDENTIFICACIÓN'!A2</f>
        <v>VERSIÓN:</v>
      </c>
      <c r="D2" s="39">
        <f>'2 CONTEXTO E IDENTIFICACIÓN'!B2</f>
        <v>0</v>
      </c>
      <c r="E2" s="13"/>
      <c r="G2" s="216" t="str">
        <f>+'2 CONTEXTO E IDENTIFICACIÓN'!$I$4</f>
        <v>Elaboración o Actualización:</v>
      </c>
      <c r="H2" s="232">
        <f>'2 CONTEXTO E IDENTIFICACIÓN'!J4</f>
        <v>0</v>
      </c>
      <c r="I2" s="13"/>
      <c r="J2" s="13"/>
      <c r="K2" s="13"/>
      <c r="L2" s="13"/>
      <c r="M2" s="202"/>
      <c r="N2" s="202"/>
      <c r="R2" s="167"/>
      <c r="S2" s="167"/>
    </row>
    <row r="3" spans="1:25" s="3" customFormat="1" ht="15" x14ac:dyDescent="0.2">
      <c r="A3" s="229"/>
      <c r="B3" s="15"/>
      <c r="C3" s="222"/>
      <c r="D3" s="41"/>
      <c r="E3" s="13"/>
      <c r="G3" s="230"/>
      <c r="H3" s="231"/>
      <c r="I3" s="13"/>
      <c r="J3" s="13"/>
      <c r="K3" s="13"/>
      <c r="L3" s="13"/>
      <c r="M3" s="202"/>
      <c r="N3" s="202"/>
      <c r="R3" s="167"/>
      <c r="S3" s="167"/>
    </row>
    <row r="4" spans="1:25" s="3" customFormat="1" ht="32.25" customHeight="1" x14ac:dyDescent="0.2">
      <c r="A4" s="12" t="s">
        <v>95</v>
      </c>
      <c r="B4" s="332">
        <f>'2 CONTEXTO E IDENTIFICACIÓN'!B4</f>
        <v>0</v>
      </c>
      <c r="C4" s="473"/>
      <c r="D4" s="474"/>
      <c r="E4" s="13"/>
      <c r="G4" s="221" t="str">
        <f>+'2 CONTEXTO E IDENTIFICACIÓN'!$E$5</f>
        <v xml:space="preserve">Vigencia: </v>
      </c>
      <c r="H4" s="219">
        <f>'2 CONTEXTO E IDENTIFICACIÓN'!G5</f>
        <v>0</v>
      </c>
      <c r="I4" s="220" t="s">
        <v>100</v>
      </c>
      <c r="J4" s="217">
        <f>'2 CONTEXTO E IDENTIFICACIÓN'!J5</f>
        <v>0</v>
      </c>
      <c r="K4" s="13"/>
      <c r="L4" s="13"/>
      <c r="M4" s="202"/>
      <c r="N4" s="202"/>
      <c r="R4" s="167"/>
      <c r="S4" s="167"/>
    </row>
    <row r="5" spans="1:25" s="3" customFormat="1" ht="15.75" thickBot="1" x14ac:dyDescent="0.25">
      <c r="A5" s="12" t="s">
        <v>96</v>
      </c>
      <c r="B5" s="465">
        <f>'2 CONTEXTO E IDENTIFICACIÓN'!F4</f>
        <v>0</v>
      </c>
      <c r="C5" s="466"/>
      <c r="D5" s="466"/>
      <c r="E5" s="16"/>
      <c r="F5" s="16"/>
      <c r="R5" s="167"/>
      <c r="S5" s="167"/>
    </row>
    <row r="6" spans="1:25" s="3" customFormat="1" ht="15.75" thickBot="1" x14ac:dyDescent="0.25">
      <c r="A6" s="233"/>
      <c r="B6" s="234"/>
      <c r="C6" s="224"/>
      <c r="D6" s="224"/>
      <c r="E6" s="16"/>
      <c r="F6" s="16"/>
      <c r="G6" s="467" t="s">
        <v>268</v>
      </c>
      <c r="H6" s="468"/>
      <c r="I6" s="468"/>
      <c r="J6" s="468"/>
      <c r="K6" s="468"/>
      <c r="L6" s="468"/>
      <c r="M6" s="468"/>
      <c r="N6" s="469"/>
      <c r="R6" s="167"/>
      <c r="S6" s="167"/>
    </row>
    <row r="7" spans="1:25" s="19" customFormat="1" ht="14.25" customHeight="1" thickBot="1" x14ac:dyDescent="0.3">
      <c r="A7" s="17"/>
      <c r="B7" s="18"/>
      <c r="C7" s="467" t="s">
        <v>269</v>
      </c>
      <c r="D7" s="468"/>
      <c r="E7" s="468"/>
      <c r="F7" s="469"/>
      <c r="G7" s="470" t="s">
        <v>39</v>
      </c>
      <c r="H7" s="471"/>
      <c r="I7" s="472"/>
      <c r="J7" s="470" t="s">
        <v>41</v>
      </c>
      <c r="K7" s="471"/>
      <c r="L7" s="472"/>
      <c r="M7" s="470" t="s">
        <v>270</v>
      </c>
      <c r="N7" s="472"/>
      <c r="P7" s="459" t="s">
        <v>271</v>
      </c>
      <c r="Q7" s="460"/>
      <c r="R7" s="461"/>
      <c r="S7" s="461"/>
      <c r="T7" s="462"/>
      <c r="V7" s="456" t="s">
        <v>272</v>
      </c>
      <c r="W7" s="457"/>
      <c r="X7" s="457"/>
      <c r="Y7" s="458"/>
    </row>
    <row r="8" spans="1:25" s="145" customFormat="1" ht="57" x14ac:dyDescent="0.25">
      <c r="A8" s="183" t="s">
        <v>273</v>
      </c>
      <c r="B8" s="182" t="s">
        <v>274</v>
      </c>
      <c r="C8" s="198" t="s">
        <v>37</v>
      </c>
      <c r="D8" s="199" t="s">
        <v>275</v>
      </c>
      <c r="E8" s="200" t="s">
        <v>276</v>
      </c>
      <c r="F8" s="201" t="s">
        <v>277</v>
      </c>
      <c r="G8" s="172" t="s">
        <v>39</v>
      </c>
      <c r="H8" s="173" t="s">
        <v>278</v>
      </c>
      <c r="I8" s="176" t="s">
        <v>279</v>
      </c>
      <c r="J8" s="172" t="s">
        <v>41</v>
      </c>
      <c r="K8" s="173" t="s">
        <v>278</v>
      </c>
      <c r="L8" s="176" t="s">
        <v>279</v>
      </c>
      <c r="M8" s="172" t="s">
        <v>280</v>
      </c>
      <c r="N8" s="174" t="s">
        <v>281</v>
      </c>
      <c r="P8" s="21" t="s">
        <v>279</v>
      </c>
      <c r="Q8" s="22" t="s">
        <v>275</v>
      </c>
      <c r="R8" s="164" t="s">
        <v>282</v>
      </c>
      <c r="S8" s="164" t="s">
        <v>283</v>
      </c>
      <c r="T8" s="23" t="s">
        <v>157</v>
      </c>
      <c r="V8" s="21" t="s">
        <v>279</v>
      </c>
      <c r="W8" s="22" t="s">
        <v>284</v>
      </c>
      <c r="X8" s="22" t="s">
        <v>285</v>
      </c>
      <c r="Y8" s="23" t="s">
        <v>41</v>
      </c>
    </row>
    <row r="9" spans="1:25" ht="93" customHeight="1" x14ac:dyDescent="0.25">
      <c r="A9" s="24" t="str">
        <f>'2 CONTEXTO E IDENTIFICACIÓN'!A9</f>
        <v>R1</v>
      </c>
      <c r="B9" s="194" t="str">
        <f>+'2 CONTEXTO E IDENTIFICACIÓN'!J9</f>
        <v>Posibilidad de perdida de confidencialidad por acceso indebido a la información reservada y clasificada de los servidores y exservidores de la Entidad a causa de la falta de control en el prestamo y custadia de las Historias Laborales.</v>
      </c>
      <c r="C9" s="195">
        <v>240</v>
      </c>
      <c r="D9" s="168" t="str">
        <f t="shared" ref="D9:D28" si="0">+IF(C9="","",IF(C9&lt;=$S$9,$Q$9,IF(C9&lt;=$S$10,$Q$10,IF(C9&lt;=$S$11,$Q$11,IF(C9&lt;=$S$12,$Q$12,IF(C9&gt;=$R$13,$Q$13,""))))))</f>
        <v>La actividad que conlleva el riesgo se ejecuta de 24 a 500 veces por año</v>
      </c>
      <c r="E9" s="169">
        <f t="shared" ref="E9:E28" si="1">+IF(D9="","",IF(D9=$Q$9,$T$9,IF(D9=$Q$10,$T$10,IF(D9=$Q$11,$T$11,IF(D9=$Q$12,$T$12,IF(D9=$Q$13,$T$13))))))</f>
        <v>0.6</v>
      </c>
      <c r="F9" s="25" t="str">
        <f t="shared" ref="F9:F28" si="2">+IF(D9="","",IF(D9=$Q$9,$P$9,IF(D9=$Q$10,$P$10,IF(D9=$Q$11,$P$11,IF(D9=$Q$12,$P$12,IF(D9=$Q$13,$P$13))))))</f>
        <v>Media</v>
      </c>
      <c r="G9" s="179" t="s">
        <v>311</v>
      </c>
      <c r="H9" s="171" t="str">
        <f>+IF(G9="","",IF(G9="N/A","",IF(OR(G9=$X$9,G9=$Y$9),$W$9,IF(OR(G9=$X$10,G9=$Y$10),$W$10,IF(OR(G9=$X$11,G9=$Y$11),$W$11,IF(OR(G9=$X$12,G9=$Y$12),$W$12,IF(OR(G9=$X$13,G9=$Y$13),$W$13)))))))</f>
        <v/>
      </c>
      <c r="I9" s="177" t="str">
        <f t="shared" ref="I9:I28" si="3">+IF(G9="","",IF(G9="N/A","",IF(OR(G9=$X$9,G9=$Y$9),$V$9,IF(OR(G9=$X$10,G9=$Y$10),$V$10,IF(OR(G9=$X$11,G9=$Y$11),$V$11,IF(OR(G9=$X$12,G9=$Y$12),$V$12,IF(OR(G9=$X$13,G9=$Y$13),$V$13)))))))</f>
        <v/>
      </c>
      <c r="J9" s="179" t="s">
        <v>295</v>
      </c>
      <c r="K9" s="171">
        <f t="shared" ref="K9:K28" si="4">+IF(J9="","",IF(J9="N/A","",IF(OR(J9=$X$9,J9=$Y$9),$W$9,IF(OR(J9=$X$10,J9=$Y$10),$W$10,IF(OR(J9=$X$11,J9=$Y$11),$W$11,IF(OR(J9=$X$12,J9=$Y$12),$W$12,IF(OR(J9=$X$13,J9=$Y$13),$W$13)))))))</f>
        <v>0.4</v>
      </c>
      <c r="L9" s="177" t="str">
        <f t="shared" ref="L9:L28" si="5">+IF(J9="","",IF(J9="N/A","",IF(OR(J9=$X$9,J9=$Y$9),$V$9,IF(OR(J9=$X$10,J9=$Y$10),$V$10,IF(OR(J9=$X$11,J9=$Y$11),$V$11,IF(OR(J9=$X$12,J9=$Y$12),$V$12,IF(OR(J9=$X$13,J9=$Y$13),$V$13)))))))</f>
        <v>Menor</v>
      </c>
      <c r="M9" s="203">
        <f>+IF(H9="",K9,IF(K9="",H9,IF(H9&gt;K9,H9,K9)))</f>
        <v>0.4</v>
      </c>
      <c r="N9" s="204" t="str">
        <f>+IF(M9="","",IF(M9=$W$9,$V$9,IF(M9=$W$10,$V$10,IF(M9=$W$11,$V$11,IF(M9=$W$12,$V$12,IF(M9=$W$13,$V$13))))))</f>
        <v>Menor</v>
      </c>
      <c r="P9" s="305" t="s">
        <v>288</v>
      </c>
      <c r="Q9" s="26" t="s">
        <v>289</v>
      </c>
      <c r="R9" s="165">
        <v>0</v>
      </c>
      <c r="S9" s="165">
        <v>2</v>
      </c>
      <c r="T9" s="27">
        <v>0.2</v>
      </c>
      <c r="V9" s="305" t="s">
        <v>290</v>
      </c>
      <c r="W9" s="28">
        <v>0.2</v>
      </c>
      <c r="X9" s="26" t="s">
        <v>291</v>
      </c>
      <c r="Y9" s="29" t="s">
        <v>287</v>
      </c>
    </row>
    <row r="10" spans="1:25" ht="93" customHeight="1" x14ac:dyDescent="0.25">
      <c r="A10" s="24" t="str">
        <f>'2 CONTEXTO E IDENTIFICACIÓN'!A10</f>
        <v>R2</v>
      </c>
      <c r="B10" s="194" t="str">
        <f>+'2 CONTEXTO E IDENTIFICACIÓN'!J10</f>
        <v>Posibilidad de afectación económica y reputacional por incumplimiento en la realización de las actividades del Plan Anual de trabajo de SG-SST a causa de falta de seguimiento al cumplimiento de las tareas programadas.</v>
      </c>
      <c r="C10" s="196">
        <v>12</v>
      </c>
      <c r="D10" s="168" t="str">
        <f t="shared" si="0"/>
        <v>La actividad que conlleva el riesgo se ejecuta de 3 a 24 veces por año</v>
      </c>
      <c r="E10" s="169">
        <f t="shared" si="1"/>
        <v>0.4</v>
      </c>
      <c r="F10" s="25" t="str">
        <f t="shared" si="2"/>
        <v>Baja</v>
      </c>
      <c r="G10" s="179" t="s">
        <v>299</v>
      </c>
      <c r="H10" s="171">
        <f t="shared" ref="H10:H28" si="6">+IF(G10="","",IF(G10="N/A","",IF(OR(G10=$X$9,G10=$Y$9),$W$9,IF(OR(G10=$X$10,G10=$Y$10),$W$10,IF(OR(G10=$X$11,G10=$Y$11),$W$11,IF(OR(G10=$X$12,G10=$Y$12),$W$12,IF(OR(G10=$X$13,G10=$Y$13),$W$13)))))))</f>
        <v>0.6</v>
      </c>
      <c r="I10" s="177" t="str">
        <f t="shared" si="3"/>
        <v>Moderado</v>
      </c>
      <c r="J10" s="179" t="s">
        <v>295</v>
      </c>
      <c r="K10" s="171">
        <f t="shared" si="4"/>
        <v>0.4</v>
      </c>
      <c r="L10" s="177" t="str">
        <f t="shared" si="5"/>
        <v>Menor</v>
      </c>
      <c r="M10" s="203">
        <f>+IF(H10="",K10,IF(K10="",H10,IF(H10&gt;K10,H10,K10)))</f>
        <v>0.6</v>
      </c>
      <c r="N10" s="204" t="str">
        <f t="shared" ref="N10:N28" si="7">+IF(M10="","",IF(M10=$W$9,$V$9,IF(M10=$W$10,$V$10,IF(M10=$W$11,$V$11,IF(M10=$W$12,$V$12,IF(M10=$W$13,$V$13))))))</f>
        <v>Moderado</v>
      </c>
      <c r="P10" s="306" t="s">
        <v>292</v>
      </c>
      <c r="Q10" s="30" t="s">
        <v>293</v>
      </c>
      <c r="R10" s="165">
        <v>3</v>
      </c>
      <c r="S10" s="165">
        <v>24</v>
      </c>
      <c r="T10" s="27">
        <v>0.4</v>
      </c>
      <c r="V10" s="306" t="s">
        <v>294</v>
      </c>
      <c r="W10" s="28">
        <v>0.4</v>
      </c>
      <c r="X10" s="30" t="s">
        <v>286</v>
      </c>
      <c r="Y10" s="31" t="s">
        <v>295</v>
      </c>
    </row>
    <row r="11" spans="1:25" ht="93" customHeight="1" x14ac:dyDescent="0.25">
      <c r="A11" s="24" t="str">
        <f>'2 CONTEXTO E IDENTIFICACIÓN'!A11</f>
        <v>R3</v>
      </c>
      <c r="B11" s="194" t="str">
        <f>+'2 CONTEXTO E IDENTIFICACIÓN'!J11</f>
        <v>Posibilidad de afectación económica y reputacional por inconsistencias en el calculo, liquidación y pago de la nómina y la seguridad social a causa de la no inclusión de novedades generadas.</v>
      </c>
      <c r="C11" s="196">
        <f>12*50</f>
        <v>600</v>
      </c>
      <c r="D11" s="168" t="str">
        <f t="shared" si="0"/>
        <v>La actividad que conlleva el riesgo se ejecuta mínimo 500 veces al año y máximo 5.000 veces por año</v>
      </c>
      <c r="E11" s="169">
        <f t="shared" si="1"/>
        <v>0.8</v>
      </c>
      <c r="F11" s="25" t="str">
        <f t="shared" si="2"/>
        <v>Alta</v>
      </c>
      <c r="G11" s="179" t="s">
        <v>286</v>
      </c>
      <c r="H11" s="171">
        <f t="shared" si="6"/>
        <v>0.4</v>
      </c>
      <c r="I11" s="177" t="str">
        <f t="shared" si="3"/>
        <v>Menor</v>
      </c>
      <c r="J11" s="179" t="s">
        <v>295</v>
      </c>
      <c r="K11" s="171">
        <f t="shared" si="4"/>
        <v>0.4</v>
      </c>
      <c r="L11" s="177" t="str">
        <f t="shared" si="5"/>
        <v>Menor</v>
      </c>
      <c r="M11" s="203">
        <f t="shared" ref="M11:M28" si="8">+IF(H11="",K11,IF(K11="",H11,IF(H11&gt;K11,H11,K11)))</f>
        <v>0.4</v>
      </c>
      <c r="N11" s="204" t="str">
        <f t="shared" si="7"/>
        <v>Menor</v>
      </c>
      <c r="P11" s="307" t="s">
        <v>296</v>
      </c>
      <c r="Q11" s="30" t="s">
        <v>297</v>
      </c>
      <c r="R11" s="165">
        <v>25</v>
      </c>
      <c r="S11" s="165">
        <v>500</v>
      </c>
      <c r="T11" s="27">
        <v>0.6</v>
      </c>
      <c r="V11" s="307" t="s">
        <v>298</v>
      </c>
      <c r="W11" s="28">
        <v>0.6</v>
      </c>
      <c r="X11" s="30" t="s">
        <v>299</v>
      </c>
      <c r="Y11" s="31" t="s">
        <v>300</v>
      </c>
    </row>
    <row r="12" spans="1:25" ht="93" customHeight="1" x14ac:dyDescent="0.25">
      <c r="A12" s="24" t="str">
        <f>'2 CONTEXTO E IDENTIFICACIÓN'!A12</f>
        <v>R4</v>
      </c>
      <c r="B12" s="194" t="str">
        <f>+'2 CONTEXTO E IDENTIFICACIÓN'!J12</f>
        <v>Posibilidad de pérdida reputacional por vincular en la planta de personal o inscribir como liquidadores, agentes especiales, contralores o revisores fiscales, a aspirantes sin el cumplimiento de los requisitos a causa de la falta de verficación de los soportes presentados por los aspirantes.</v>
      </c>
      <c r="C12" s="196">
        <v>20</v>
      </c>
      <c r="D12" s="168" t="str">
        <f t="shared" si="0"/>
        <v>La actividad que conlleva el riesgo se ejecuta de 3 a 24 veces por año</v>
      </c>
      <c r="E12" s="169">
        <f t="shared" si="1"/>
        <v>0.4</v>
      </c>
      <c r="F12" s="25" t="str">
        <f t="shared" si="2"/>
        <v>Baja</v>
      </c>
      <c r="G12" s="179" t="s">
        <v>311</v>
      </c>
      <c r="H12" s="171" t="str">
        <f t="shared" si="6"/>
        <v/>
      </c>
      <c r="I12" s="177" t="str">
        <f t="shared" si="3"/>
        <v/>
      </c>
      <c r="J12" s="179" t="s">
        <v>300</v>
      </c>
      <c r="K12" s="171">
        <f t="shared" si="4"/>
        <v>0.6</v>
      </c>
      <c r="L12" s="177" t="str">
        <f t="shared" si="5"/>
        <v>Moderado</v>
      </c>
      <c r="M12" s="203">
        <f t="shared" si="8"/>
        <v>0.6</v>
      </c>
      <c r="N12" s="204" t="str">
        <f t="shared" si="7"/>
        <v>Moderado</v>
      </c>
      <c r="P12" s="32" t="s">
        <v>301</v>
      </c>
      <c r="Q12" s="30" t="s">
        <v>302</v>
      </c>
      <c r="R12" s="165">
        <v>5001</v>
      </c>
      <c r="S12" s="165">
        <v>5000</v>
      </c>
      <c r="T12" s="27">
        <v>0.8</v>
      </c>
      <c r="V12" s="32" t="s">
        <v>303</v>
      </c>
      <c r="W12" s="28">
        <v>0.8</v>
      </c>
      <c r="X12" s="30" t="s">
        <v>304</v>
      </c>
      <c r="Y12" s="31" t="s">
        <v>305</v>
      </c>
    </row>
    <row r="13" spans="1:25" ht="93" customHeight="1" x14ac:dyDescent="0.25">
      <c r="A13" s="24" t="str">
        <f>'2 CONTEXTO E IDENTIFICACIÓN'!A13</f>
        <v>R5</v>
      </c>
      <c r="B13" s="194" t="str">
        <f>+'2 CONTEXTO E IDENTIFICACIÓN'!J13</f>
        <v>Posibilidad  de efecto dañoso sobre el recurso público por no gestionar el cobro de las incapacidades de manera oportuna a causa de deficiencias en el seguimiento al tramite ante las EPS</v>
      </c>
      <c r="C13" s="196">
        <v>24</v>
      </c>
      <c r="D13" s="168" t="str">
        <f t="shared" si="0"/>
        <v>La actividad que conlleva el riesgo se ejecuta de 3 a 24 veces por año</v>
      </c>
      <c r="E13" s="169">
        <f t="shared" si="1"/>
        <v>0.4</v>
      </c>
      <c r="F13" s="25" t="str">
        <f t="shared" si="2"/>
        <v>Baja</v>
      </c>
      <c r="G13" s="179" t="s">
        <v>291</v>
      </c>
      <c r="H13" s="171">
        <f t="shared" si="6"/>
        <v>0.2</v>
      </c>
      <c r="I13" s="177" t="str">
        <f t="shared" si="3"/>
        <v>Leve</v>
      </c>
      <c r="J13" s="179" t="s">
        <v>295</v>
      </c>
      <c r="K13" s="171">
        <f t="shared" si="4"/>
        <v>0.4</v>
      </c>
      <c r="L13" s="177" t="str">
        <f t="shared" si="5"/>
        <v>Menor</v>
      </c>
      <c r="M13" s="203">
        <f t="shared" si="8"/>
        <v>0.4</v>
      </c>
      <c r="N13" s="204" t="str">
        <f t="shared" si="7"/>
        <v>Menor</v>
      </c>
      <c r="P13" s="308" t="s">
        <v>306</v>
      </c>
      <c r="Q13" s="30" t="s">
        <v>307</v>
      </c>
      <c r="R13" s="165">
        <v>5001</v>
      </c>
      <c r="S13" s="165"/>
      <c r="T13" s="27">
        <v>1</v>
      </c>
      <c r="V13" s="308" t="s">
        <v>308</v>
      </c>
      <c r="W13" s="28">
        <v>1</v>
      </c>
      <c r="X13" s="30" t="s">
        <v>309</v>
      </c>
      <c r="Y13" s="31" t="s">
        <v>310</v>
      </c>
    </row>
    <row r="14" spans="1:25" ht="93" hidden="1" customHeight="1" thickBot="1" x14ac:dyDescent="0.3">
      <c r="A14" s="24" t="str">
        <f>'2 CONTEXTO E IDENTIFICACIÓN'!A14</f>
        <v>R6</v>
      </c>
      <c r="B14" s="194" t="str">
        <f>+'2 CONTEXTO E IDENTIFICACIÓN'!J14</f>
        <v xml:space="preserve"> por a causa de </v>
      </c>
      <c r="C14" s="196"/>
      <c r="D14" s="168" t="str">
        <f t="shared" si="0"/>
        <v/>
      </c>
      <c r="E14" s="169" t="str">
        <f t="shared" si="1"/>
        <v/>
      </c>
      <c r="F14" s="25" t="str">
        <f t="shared" si="2"/>
        <v/>
      </c>
      <c r="G14" s="179"/>
      <c r="H14" s="171" t="str">
        <f t="shared" si="6"/>
        <v/>
      </c>
      <c r="I14" s="177" t="str">
        <f t="shared" si="3"/>
        <v/>
      </c>
      <c r="J14" s="179"/>
      <c r="K14" s="171" t="str">
        <f t="shared" si="4"/>
        <v/>
      </c>
      <c r="L14" s="177" t="str">
        <f t="shared" si="5"/>
        <v/>
      </c>
      <c r="M14" s="203" t="str">
        <f t="shared" si="8"/>
        <v/>
      </c>
      <c r="N14" s="204" t="str">
        <f t="shared" si="7"/>
        <v/>
      </c>
      <c r="P14" s="33"/>
      <c r="Q14" s="34"/>
      <c r="R14" s="166"/>
      <c r="S14" s="166"/>
      <c r="T14" s="35"/>
      <c r="V14" s="33"/>
      <c r="W14" s="34"/>
      <c r="X14" s="34" t="s">
        <v>311</v>
      </c>
      <c r="Y14" s="35" t="s">
        <v>311</v>
      </c>
    </row>
    <row r="15" spans="1:25" ht="93" hidden="1" customHeight="1" x14ac:dyDescent="0.25">
      <c r="A15" s="24" t="str">
        <f>'2 CONTEXTO E IDENTIFICACIÓN'!A15</f>
        <v>R7</v>
      </c>
      <c r="B15" s="194" t="str">
        <f>+'2 CONTEXTO E IDENTIFICACIÓN'!J15</f>
        <v xml:space="preserve"> por a causa de </v>
      </c>
      <c r="C15" s="196"/>
      <c r="D15" s="168" t="str">
        <f t="shared" si="0"/>
        <v/>
      </c>
      <c r="E15" s="169" t="str">
        <f t="shared" si="1"/>
        <v/>
      </c>
      <c r="F15" s="25" t="str">
        <f t="shared" si="2"/>
        <v/>
      </c>
      <c r="G15" s="179"/>
      <c r="H15" s="171" t="str">
        <f t="shared" si="6"/>
        <v/>
      </c>
      <c r="I15" s="177" t="str">
        <f t="shared" si="3"/>
        <v/>
      </c>
      <c r="J15" s="179"/>
      <c r="K15" s="171" t="str">
        <f t="shared" si="4"/>
        <v/>
      </c>
      <c r="L15" s="177" t="str">
        <f t="shared" si="5"/>
        <v/>
      </c>
      <c r="M15" s="203" t="str">
        <f t="shared" si="8"/>
        <v/>
      </c>
      <c r="N15" s="204" t="str">
        <f t="shared" si="7"/>
        <v/>
      </c>
    </row>
    <row r="16" spans="1:25" ht="93" hidden="1" customHeight="1" x14ac:dyDescent="0.25">
      <c r="A16" s="24" t="str">
        <f>'2 CONTEXTO E IDENTIFICACIÓN'!A16</f>
        <v>R8</v>
      </c>
      <c r="B16" s="194" t="str">
        <f>+'2 CONTEXTO E IDENTIFICACIÓN'!J16</f>
        <v xml:space="preserve"> por a causa de </v>
      </c>
      <c r="C16" s="196"/>
      <c r="D16" s="168" t="str">
        <f t="shared" si="0"/>
        <v/>
      </c>
      <c r="E16" s="169" t="str">
        <f t="shared" si="1"/>
        <v/>
      </c>
      <c r="F16" s="25" t="str">
        <f t="shared" si="2"/>
        <v/>
      </c>
      <c r="G16" s="179"/>
      <c r="H16" s="171" t="str">
        <f t="shared" si="6"/>
        <v/>
      </c>
      <c r="I16" s="177" t="str">
        <f t="shared" si="3"/>
        <v/>
      </c>
      <c r="J16" s="179"/>
      <c r="K16" s="171" t="str">
        <f t="shared" si="4"/>
        <v/>
      </c>
      <c r="L16" s="177" t="str">
        <f t="shared" si="5"/>
        <v/>
      </c>
      <c r="M16" s="203" t="str">
        <f t="shared" si="8"/>
        <v/>
      </c>
      <c r="N16" s="204" t="str">
        <f t="shared" si="7"/>
        <v/>
      </c>
    </row>
    <row r="17" spans="1:14" ht="93" hidden="1" customHeight="1" x14ac:dyDescent="0.25">
      <c r="A17" s="24" t="str">
        <f>'2 CONTEXTO E IDENTIFICACIÓN'!A17</f>
        <v>R9</v>
      </c>
      <c r="B17" s="194" t="str">
        <f>+'2 CONTEXTO E IDENTIFICACIÓN'!J17</f>
        <v xml:space="preserve"> por a causa de </v>
      </c>
      <c r="C17" s="196"/>
      <c r="D17" s="168" t="str">
        <f t="shared" si="0"/>
        <v/>
      </c>
      <c r="E17" s="169" t="str">
        <f t="shared" si="1"/>
        <v/>
      </c>
      <c r="F17" s="25" t="str">
        <f t="shared" si="2"/>
        <v/>
      </c>
      <c r="G17" s="179"/>
      <c r="H17" s="171" t="str">
        <f t="shared" si="6"/>
        <v/>
      </c>
      <c r="I17" s="177" t="str">
        <f t="shared" si="3"/>
        <v/>
      </c>
      <c r="J17" s="179"/>
      <c r="K17" s="171" t="str">
        <f t="shared" si="4"/>
        <v/>
      </c>
      <c r="L17" s="177" t="str">
        <f t="shared" si="5"/>
        <v/>
      </c>
      <c r="M17" s="203" t="str">
        <f t="shared" si="8"/>
        <v/>
      </c>
      <c r="N17" s="204" t="str">
        <f t="shared" si="7"/>
        <v/>
      </c>
    </row>
    <row r="18" spans="1:14" ht="93" hidden="1" customHeight="1" x14ac:dyDescent="0.25">
      <c r="A18" s="24" t="str">
        <f>'2 CONTEXTO E IDENTIFICACIÓN'!A18</f>
        <v>R10</v>
      </c>
      <c r="B18" s="194" t="str">
        <f>+'2 CONTEXTO E IDENTIFICACIÓN'!J18</f>
        <v xml:space="preserve"> por a causa de </v>
      </c>
      <c r="C18" s="196"/>
      <c r="D18" s="168" t="str">
        <f t="shared" si="0"/>
        <v/>
      </c>
      <c r="E18" s="169" t="str">
        <f t="shared" si="1"/>
        <v/>
      </c>
      <c r="F18" s="25" t="str">
        <f t="shared" si="2"/>
        <v/>
      </c>
      <c r="G18" s="179"/>
      <c r="H18" s="171" t="str">
        <f t="shared" si="6"/>
        <v/>
      </c>
      <c r="I18" s="177" t="str">
        <f t="shared" si="3"/>
        <v/>
      </c>
      <c r="J18" s="179"/>
      <c r="K18" s="171" t="str">
        <f t="shared" si="4"/>
        <v/>
      </c>
      <c r="L18" s="177" t="str">
        <f t="shared" si="5"/>
        <v/>
      </c>
      <c r="M18" s="203" t="str">
        <f t="shared" si="8"/>
        <v/>
      </c>
      <c r="N18" s="204" t="str">
        <f t="shared" si="7"/>
        <v/>
      </c>
    </row>
    <row r="19" spans="1:14" ht="93" hidden="1" customHeight="1" x14ac:dyDescent="0.25">
      <c r="A19" s="24" t="str">
        <f>'2 CONTEXTO E IDENTIFICACIÓN'!A19</f>
        <v>R11</v>
      </c>
      <c r="B19" s="194" t="str">
        <f>+'2 CONTEXTO E IDENTIFICACIÓN'!J19</f>
        <v xml:space="preserve"> por a causa de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 hidden="1" customHeight="1" x14ac:dyDescent="0.25">
      <c r="A20" s="24" t="str">
        <f>'2 CONTEXTO E IDENTIFICACIÓN'!A20</f>
        <v>R12</v>
      </c>
      <c r="B20" s="194" t="str">
        <f>+'2 CONTEXTO E IDENTIFICACIÓN'!J20</f>
        <v xml:space="preserve"> por a causa de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 hidden="1" customHeight="1" x14ac:dyDescent="0.25">
      <c r="A21" s="24" t="str">
        <f>'2 CONTEXTO E IDENTIFICACIÓN'!A21</f>
        <v>R13</v>
      </c>
      <c r="B21" s="194" t="str">
        <f>+'2 CONTEXTO E IDENTIFICACIÓN'!J21</f>
        <v xml:space="preserve"> por a causa de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 hidden="1" customHeight="1" x14ac:dyDescent="0.25">
      <c r="A22" s="24" t="str">
        <f>'2 CONTEXTO E IDENTIFICACIÓN'!A22</f>
        <v>R14</v>
      </c>
      <c r="B22" s="194" t="str">
        <f>+'2 CONTEXTO E IDENTIFICACIÓN'!J22</f>
        <v xml:space="preserve"> por a causa de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 hidden="1" customHeight="1" x14ac:dyDescent="0.25">
      <c r="A23" s="24" t="str">
        <f>'2 CONTEXTO E IDENTIFICACIÓN'!A23</f>
        <v>R15</v>
      </c>
      <c r="B23" s="194" t="str">
        <f>+'2 CONTEXTO E IDENTIFICACIÓN'!J23</f>
        <v xml:space="preserve"> por a causa de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 hidden="1" customHeight="1" x14ac:dyDescent="0.25">
      <c r="A24" s="24" t="str">
        <f>'2 CONTEXTO E IDENTIFICACIÓN'!A24</f>
        <v>R16</v>
      </c>
      <c r="B24" s="194" t="str">
        <f>+'2 CONTEXTO E IDENTIFICACIÓN'!J24</f>
        <v xml:space="preserve"> por a causa de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 hidden="1" customHeight="1" x14ac:dyDescent="0.25">
      <c r="A25" s="24" t="str">
        <f>'2 CONTEXTO E IDENTIFICACIÓN'!A25</f>
        <v>R17</v>
      </c>
      <c r="B25" s="194" t="str">
        <f>+'2 CONTEXTO E IDENTIFICACIÓN'!J25</f>
        <v xml:space="preserve"> por a causa de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 hidden="1" customHeight="1" x14ac:dyDescent="0.25">
      <c r="A26" s="24" t="str">
        <f>'2 CONTEXTO E IDENTIFICACIÓN'!A26</f>
        <v>R18</v>
      </c>
      <c r="B26" s="194" t="str">
        <f>+'2 CONTEXTO E IDENTIFICACIÓN'!J26</f>
        <v xml:space="preserve"> por a causa de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 hidden="1" customHeight="1" x14ac:dyDescent="0.25">
      <c r="A27" s="24" t="str">
        <f>'2 CONTEXTO E IDENTIFICACIÓN'!A27</f>
        <v>R19</v>
      </c>
      <c r="B27" s="194" t="str">
        <f>+'2 CONTEXTO E IDENTIFICACIÓN'!J27</f>
        <v xml:space="preserve"> por a causa de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 hidden="1" customHeight="1" thickBot="1" x14ac:dyDescent="0.3">
      <c r="A28" s="36" t="str">
        <f>'2 CONTEXTO E IDENTIFICACIÓN'!A28</f>
        <v>R20</v>
      </c>
      <c r="B28" s="194" t="str">
        <f>+'2 CONTEXTO E IDENTIFICACIÓN'!J28</f>
        <v xml:space="preserve"> por a causa de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E14" sqref="E14"/>
    </sheetView>
  </sheetViews>
  <sheetFormatPr baseColWidth="10" defaultColWidth="0" defaultRowHeight="12.75" x14ac:dyDescent="0.25"/>
  <cols>
    <col min="1" max="1" width="12.85546875" style="68" customWidth="1"/>
    <col min="2" max="2" width="29.42578125" style="73" customWidth="1"/>
    <col min="3" max="3" width="16.42578125" style="68" customWidth="1"/>
    <col min="4" max="4" width="12.42578125" style="73" customWidth="1"/>
    <col min="5" max="5" width="25" style="73" customWidth="1"/>
    <col min="6" max="6" width="3.85546875" style="73" customWidth="1"/>
    <col min="7" max="7" width="7.42578125" style="73" customWidth="1"/>
    <col min="8" max="8" width="14" style="73" customWidth="1"/>
    <col min="9" max="9" width="13.85546875" style="73" customWidth="1"/>
    <col min="10" max="13" width="12.42578125" style="73" customWidth="1"/>
    <col min="14" max="14" width="3.85546875" style="73" customWidth="1"/>
    <col min="15" max="15" width="4.85546875" style="68" customWidth="1"/>
    <col min="16" max="16" width="6.42578125" style="68" customWidth="1"/>
    <col min="17" max="17" width="11" style="68" bestFit="1" customWidth="1"/>
    <col min="18" max="22" width="12" style="68" customWidth="1"/>
    <col min="23" max="23" width="11.42578125" style="68" customWidth="1"/>
    <col min="24" max="27" width="11.42578125" style="68" hidden="1" customWidth="1"/>
    <col min="28" max="28" width="5.42578125" style="68" hidden="1" customWidth="1"/>
    <col min="29" max="29" width="26.85546875" style="68" hidden="1" customWidth="1"/>
    <col min="30" max="34" width="22.85546875" style="73" hidden="1" customWidth="1"/>
    <col min="35" max="35" width="23.42578125" style="68" hidden="1" customWidth="1"/>
    <col min="36" max="263" width="11.42578125" style="68" hidden="1" customWidth="1"/>
    <col min="264" max="264" width="12.42578125" style="68" hidden="1" customWidth="1"/>
    <col min="265" max="265" width="47" style="68" hidden="1" customWidth="1"/>
    <col min="266" max="266" width="35" style="68" hidden="1" customWidth="1"/>
    <col min="267" max="16384" width="14.42578125" style="68" hidden="1"/>
  </cols>
  <sheetData>
    <row r="1" spans="1:36" s="56" customFormat="1" ht="36" customHeight="1" x14ac:dyDescent="0.2">
      <c r="A1" s="479"/>
      <c r="B1" s="485" t="str">
        <f>+'2 CONTEXTO E IDENTIFICACIÓN'!A1</f>
        <v>MAPA DE RIESGOS</v>
      </c>
      <c r="C1" s="475"/>
      <c r="D1" s="476"/>
      <c r="AD1" s="57"/>
      <c r="AE1" s="57"/>
      <c r="AF1" s="57"/>
      <c r="AG1" s="57"/>
      <c r="AH1" s="57"/>
    </row>
    <row r="2" spans="1:36" s="56" customFormat="1" ht="36" customHeight="1" x14ac:dyDescent="0.2">
      <c r="A2" s="479"/>
      <c r="B2" s="485"/>
      <c r="C2" s="39" t="str">
        <f>+'2 CONTEXTO E IDENTIFICACIÓN'!A2</f>
        <v>VERSIÓN:</v>
      </c>
      <c r="D2" s="55">
        <f>'2 CONTEXTO E IDENTIFICACIÓN'!B2</f>
        <v>0</v>
      </c>
      <c r="E2" s="58"/>
      <c r="F2" s="58"/>
      <c r="G2" s="58"/>
      <c r="H2" s="3"/>
      <c r="I2" s="218" t="str">
        <f>+'2 CONTEXTO E IDENTIFICACIÓN'!$I$4</f>
        <v>Elaboración o Actualización:</v>
      </c>
      <c r="J2" s="232">
        <f>'2 CONTEXTO E IDENTIFICACIÓN'!J4</f>
        <v>0</v>
      </c>
      <c r="K2" s="13"/>
      <c r="L2" s="13"/>
      <c r="M2" s="59"/>
      <c r="N2" s="58"/>
      <c r="AD2" s="57"/>
      <c r="AE2" s="57"/>
      <c r="AF2" s="57"/>
      <c r="AG2" s="57"/>
      <c r="AH2" s="57"/>
    </row>
    <row r="3" spans="1:36" s="56" customFormat="1" ht="27.95" customHeight="1" x14ac:dyDescent="0.2">
      <c r="A3" s="60"/>
      <c r="B3" s="58"/>
      <c r="C3" s="41"/>
      <c r="D3" s="59"/>
      <c r="E3" s="58"/>
      <c r="F3" s="58"/>
      <c r="G3" s="58"/>
      <c r="I3" s="221" t="str">
        <f>+'2 CONTEXTO E IDENTIFICACIÓN'!$E$5</f>
        <v xml:space="preserve">Vigencia: </v>
      </c>
      <c r="J3" s="219">
        <f>'2 CONTEXTO E IDENTIFICACIÓN'!G5</f>
        <v>0</v>
      </c>
      <c r="K3" s="220" t="s">
        <v>100</v>
      </c>
      <c r="L3" s="217">
        <f>'2 CONTEXTO E IDENTIFICACIÓN'!J5</f>
        <v>0</v>
      </c>
      <c r="M3" s="59"/>
      <c r="N3" s="58"/>
      <c r="AD3" s="57"/>
      <c r="AE3" s="57"/>
      <c r="AF3" s="57"/>
      <c r="AG3" s="57"/>
      <c r="AH3" s="57"/>
    </row>
    <row r="4" spans="1:36" s="56" customFormat="1" ht="15" x14ac:dyDescent="0.2">
      <c r="A4" s="12" t="s">
        <v>95</v>
      </c>
      <c r="B4" s="489">
        <f>'2 CONTEXTO E IDENTIFICACIÓN'!B4</f>
        <v>0</v>
      </c>
      <c r="C4" s="490"/>
      <c r="D4" s="491"/>
      <c r="AD4" s="57"/>
      <c r="AE4" s="57"/>
      <c r="AF4" s="57"/>
      <c r="AG4" s="57"/>
      <c r="AH4" s="57"/>
    </row>
    <row r="5" spans="1:36" s="56" customFormat="1" ht="15.75" thickBot="1" x14ac:dyDescent="0.25">
      <c r="A5" s="12" t="s">
        <v>96</v>
      </c>
      <c r="B5" s="465">
        <f>'2 CONTEXTO E IDENTIFICACIÓN'!F4</f>
        <v>0</v>
      </c>
      <c r="C5" s="466"/>
      <c r="D5" s="466"/>
      <c r="AD5" s="57"/>
      <c r="AE5" s="57"/>
      <c r="AF5" s="57"/>
      <c r="AG5" s="57"/>
      <c r="AH5" s="57"/>
    </row>
    <row r="6" spans="1:36" s="56" customFormat="1" ht="15.75" thickBot="1" x14ac:dyDescent="0.25">
      <c r="A6" s="225"/>
      <c r="B6" s="224"/>
      <c r="C6" s="224"/>
      <c r="D6" s="59"/>
      <c r="G6" s="486" t="s">
        <v>312</v>
      </c>
      <c r="H6" s="487"/>
      <c r="I6" s="487"/>
      <c r="J6" s="487"/>
      <c r="K6" s="487"/>
      <c r="L6" s="487"/>
      <c r="M6" s="488"/>
      <c r="O6" s="61"/>
      <c r="P6" s="61"/>
      <c r="Q6" s="62"/>
      <c r="R6" s="477" t="s">
        <v>176</v>
      </c>
      <c r="S6" s="477"/>
      <c r="T6" s="477"/>
      <c r="U6" s="477"/>
      <c r="V6" s="478"/>
      <c r="AD6" s="57"/>
      <c r="AE6" s="57"/>
      <c r="AF6" s="57"/>
      <c r="AG6" s="57"/>
      <c r="AH6" s="57"/>
    </row>
    <row r="7" spans="1:36" x14ac:dyDescent="0.25">
      <c r="A7" s="63"/>
      <c r="B7" s="64"/>
      <c r="C7" s="480" t="s">
        <v>313</v>
      </c>
      <c r="D7" s="480"/>
      <c r="E7" s="480"/>
      <c r="F7" s="65"/>
      <c r="G7" s="66"/>
      <c r="H7" s="67"/>
      <c r="I7" s="477" t="s">
        <v>176</v>
      </c>
      <c r="J7" s="477"/>
      <c r="K7" s="477"/>
      <c r="L7" s="477"/>
      <c r="M7" s="478"/>
      <c r="N7" s="65"/>
      <c r="O7" s="69"/>
      <c r="P7" s="69"/>
      <c r="R7" s="70">
        <v>0.2</v>
      </c>
      <c r="S7" s="70">
        <v>0.4</v>
      </c>
      <c r="T7" s="70">
        <v>0.6</v>
      </c>
      <c r="U7" s="70">
        <v>0.8</v>
      </c>
      <c r="V7" s="71">
        <v>1</v>
      </c>
      <c r="W7" s="72"/>
      <c r="X7" s="72"/>
      <c r="Y7" s="72"/>
      <c r="Z7" s="72"/>
      <c r="AA7" s="72"/>
      <c r="AB7" s="72"/>
      <c r="AC7" s="72"/>
    </row>
    <row r="8" spans="1:36" ht="25.5" x14ac:dyDescent="0.2">
      <c r="A8" s="74" t="s">
        <v>314</v>
      </c>
      <c r="B8" s="75" t="s">
        <v>315</v>
      </c>
      <c r="C8" s="76" t="s">
        <v>271</v>
      </c>
      <c r="D8" s="76" t="s">
        <v>272</v>
      </c>
      <c r="E8" s="77" t="s">
        <v>69</v>
      </c>
      <c r="F8" s="65"/>
      <c r="G8" s="69"/>
      <c r="H8" s="78"/>
      <c r="I8" s="79" t="s">
        <v>290</v>
      </c>
      <c r="J8" s="79" t="s">
        <v>294</v>
      </c>
      <c r="K8" s="79" t="s">
        <v>298</v>
      </c>
      <c r="L8" s="79" t="s">
        <v>303</v>
      </c>
      <c r="M8" s="80" t="s">
        <v>308</v>
      </c>
      <c r="N8" s="65"/>
      <c r="O8" s="69"/>
      <c r="P8" s="69"/>
      <c r="Q8" s="81"/>
      <c r="R8" s="82" t="s">
        <v>290</v>
      </c>
      <c r="S8" s="82" t="s">
        <v>294</v>
      </c>
      <c r="T8" s="82" t="s">
        <v>298</v>
      </c>
      <c r="U8" s="82" t="s">
        <v>303</v>
      </c>
      <c r="V8" s="83" t="s">
        <v>308</v>
      </c>
      <c r="Y8" s="72"/>
      <c r="Z8" s="72"/>
      <c r="AA8" s="84"/>
      <c r="AB8" s="84"/>
      <c r="AC8" s="84"/>
      <c r="AD8" s="84"/>
      <c r="AE8" s="84"/>
      <c r="AF8" s="84"/>
      <c r="AG8" s="84"/>
      <c r="AH8" s="84"/>
      <c r="AI8" s="84"/>
      <c r="AJ8" s="84"/>
    </row>
    <row r="9" spans="1:36" ht="93" customHeight="1" x14ac:dyDescent="0.2">
      <c r="A9" s="85" t="str">
        <f>'2 CONTEXTO E IDENTIFICACIÓN'!A9</f>
        <v>R1</v>
      </c>
      <c r="B9" s="86" t="str">
        <f>+'2 CONTEXTO E IDENTIFICACIÓN'!J9</f>
        <v>Posibilidad de perdida de confidencialidad por acceso indebido a la información reservada y clasificada de los servidores y exservidores de la Entidad a causa de la falta de control en el prestamo y custadia de las Historias Laborales.</v>
      </c>
      <c r="C9" s="87" t="str">
        <f>+'3 PROBABIL E IMPACTO INHERENTE'!F9</f>
        <v>Media</v>
      </c>
      <c r="D9" s="87" t="str">
        <f>+'3 PROBABIL E IMPACTO INHERENTE'!N9</f>
        <v>Menor</v>
      </c>
      <c r="E9" s="86"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88"/>
      <c r="G9" s="483" t="s">
        <v>157</v>
      </c>
      <c r="H9" s="79" t="s">
        <v>306</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81" t="s">
        <v>157</v>
      </c>
      <c r="P9" s="91">
        <v>1</v>
      </c>
      <c r="Q9" s="82" t="s">
        <v>306</v>
      </c>
      <c r="R9" s="89" t="s">
        <v>316</v>
      </c>
      <c r="S9" s="89" t="s">
        <v>316</v>
      </c>
      <c r="T9" s="89" t="s">
        <v>316</v>
      </c>
      <c r="U9" s="89" t="s">
        <v>316</v>
      </c>
      <c r="V9" s="90" t="s">
        <v>317</v>
      </c>
      <c r="Y9" s="72"/>
      <c r="Z9" s="72"/>
      <c r="AA9" s="84"/>
      <c r="AB9" s="84"/>
      <c r="AC9" s="84"/>
      <c r="AD9" s="92"/>
      <c r="AE9" s="92"/>
      <c r="AF9" s="92"/>
      <c r="AG9" s="92"/>
      <c r="AH9" s="92"/>
      <c r="AI9" s="84"/>
      <c r="AJ9" s="84"/>
    </row>
    <row r="10" spans="1:36" ht="93" customHeight="1" x14ac:dyDescent="0.2">
      <c r="A10" s="85" t="str">
        <f>'2 CONTEXTO E IDENTIFICACIÓN'!A10</f>
        <v>R2</v>
      </c>
      <c r="B10" s="86" t="str">
        <f>+'2 CONTEXTO E IDENTIFICACIÓN'!J10</f>
        <v>Posibilidad de afectación económica y reputacional por incumplimiento en la realización de las actividades del Plan Anual de trabajo de SG-SST a causa de falta de seguimiento al cumplimiento de las tareas programadas.</v>
      </c>
      <c r="C10" s="87" t="str">
        <f>+'3 PROBABIL E IMPACTO INHERENTE'!F10</f>
        <v>Baja</v>
      </c>
      <c r="D10" s="87" t="str">
        <f>+'3 PROBABIL E IMPACTO INHERENTE'!N10</f>
        <v>Moderado</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88"/>
      <c r="G10" s="483"/>
      <c r="H10" s="79" t="s">
        <v>301</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R3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81"/>
      <c r="P10" s="91">
        <v>0.8</v>
      </c>
      <c r="Q10" s="82" t="s">
        <v>301</v>
      </c>
      <c r="R10" s="93" t="s">
        <v>298</v>
      </c>
      <c r="S10" s="93" t="s">
        <v>298</v>
      </c>
      <c r="T10" s="89" t="s">
        <v>316</v>
      </c>
      <c r="U10" s="89" t="s">
        <v>316</v>
      </c>
      <c r="V10" s="90" t="s">
        <v>317</v>
      </c>
      <c r="Y10" s="72"/>
      <c r="Z10" s="72"/>
      <c r="AA10" s="84"/>
      <c r="AB10" s="94"/>
      <c r="AC10" s="95"/>
      <c r="AD10" s="92"/>
      <c r="AE10" s="92"/>
      <c r="AF10" s="92"/>
      <c r="AG10" s="92"/>
      <c r="AH10" s="92"/>
      <c r="AI10" s="84"/>
      <c r="AJ10" s="84"/>
    </row>
    <row r="11" spans="1:36" ht="93" customHeight="1" x14ac:dyDescent="0.2">
      <c r="A11" s="85" t="str">
        <f>'2 CONTEXTO E IDENTIFICACIÓN'!A11</f>
        <v>R3</v>
      </c>
      <c r="B11" s="86" t="str">
        <f>+'2 CONTEXTO E IDENTIFICACIÓN'!J11</f>
        <v>Posibilidad de afectación económica y reputacional por inconsistencias en el calculo, liquidación y pago de la nómina y la seguridad social a causa de la no inclusión de novedades generadas.</v>
      </c>
      <c r="C11" s="87" t="str">
        <f>+'3 PROBABIL E IMPACTO INHERENTE'!F11</f>
        <v>Alta</v>
      </c>
      <c r="D11" s="87" t="str">
        <f>+'3 PROBABIL E IMPACTO INHERENTE'!N11</f>
        <v>Menor</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8"/>
      <c r="G11" s="483"/>
      <c r="H11" s="79" t="s">
        <v>296</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R1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481"/>
      <c r="P11" s="91">
        <v>0.6</v>
      </c>
      <c r="Q11" s="82" t="s">
        <v>296</v>
      </c>
      <c r="R11" s="93" t="s">
        <v>298</v>
      </c>
      <c r="S11" s="93" t="s">
        <v>298</v>
      </c>
      <c r="T11" s="93" t="s">
        <v>298</v>
      </c>
      <c r="U11" s="89" t="s">
        <v>316</v>
      </c>
      <c r="V11" s="90" t="s">
        <v>317</v>
      </c>
      <c r="Y11" s="72"/>
      <c r="Z11" s="72"/>
      <c r="AA11" s="84"/>
      <c r="AB11" s="94"/>
      <c r="AC11" s="95"/>
      <c r="AD11" s="92"/>
      <c r="AE11" s="92"/>
      <c r="AF11" s="92"/>
      <c r="AG11" s="92"/>
      <c r="AH11" s="96"/>
      <c r="AI11" s="84"/>
      <c r="AJ11" s="84"/>
    </row>
    <row r="12" spans="1:36" ht="93" customHeight="1" x14ac:dyDescent="0.2">
      <c r="A12" s="85" t="str">
        <f>'2 CONTEXTO E IDENTIFICACIÓN'!A12</f>
        <v>R4</v>
      </c>
      <c r="B12" s="86" t="str">
        <f>+'2 CONTEXTO E IDENTIFICACIÓN'!J12</f>
        <v>Posibilidad de pérdida reputacional por vincular en la planta de personal o inscribir como liquidadores, agentes especiales, contralores o revisores fiscales, a aspirantes sin el cumplimiento de los requisitos a causa de la falta de verficación de los soportes presentados por los aspirantes.</v>
      </c>
      <c r="C12" s="87" t="str">
        <f>+'3 PROBABIL E IMPACTO INHERENTE'!F12</f>
        <v>Baja</v>
      </c>
      <c r="D12" s="87" t="str">
        <f>+'3 PROBABIL E IMPACTO INHERENTE'!N12</f>
        <v>Moderado</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Moderado</v>
      </c>
      <c r="F12" s="88"/>
      <c r="G12" s="483"/>
      <c r="H12" s="79" t="s">
        <v>292</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R5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R2  R4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481"/>
      <c r="P12" s="91">
        <v>0.4</v>
      </c>
      <c r="Q12" s="82" t="s">
        <v>292</v>
      </c>
      <c r="R12" s="97" t="s">
        <v>318</v>
      </c>
      <c r="S12" s="93" t="s">
        <v>298</v>
      </c>
      <c r="T12" s="93" t="s">
        <v>298</v>
      </c>
      <c r="U12" s="89" t="s">
        <v>316</v>
      </c>
      <c r="V12" s="90" t="s">
        <v>317</v>
      </c>
      <c r="Y12" s="72"/>
      <c r="Z12" s="72"/>
      <c r="AA12" s="84"/>
      <c r="AB12" s="94"/>
      <c r="AC12" s="95"/>
      <c r="AD12" s="92"/>
      <c r="AE12" s="92"/>
      <c r="AF12" s="92"/>
      <c r="AG12" s="96"/>
      <c r="AH12" s="92"/>
      <c r="AI12" s="84"/>
      <c r="AJ12" s="84"/>
    </row>
    <row r="13" spans="1:36" ht="93" customHeight="1" thickBot="1" x14ac:dyDescent="0.25">
      <c r="A13" s="85" t="str">
        <f>'2 CONTEXTO E IDENTIFICACIÓN'!A13</f>
        <v>R5</v>
      </c>
      <c r="B13" s="86" t="str">
        <f>+'2 CONTEXTO E IDENTIFICACIÓN'!J13</f>
        <v>Posibilidad  de efecto dañoso sobre el recurso público por no gestionar el cobro de las incapacidades de manera oportuna a causa de deficiencias en el seguimiento al tramite ante las EPS</v>
      </c>
      <c r="C13" s="87" t="str">
        <f>+'3 PROBABIL E IMPACTO INHERENTE'!F13</f>
        <v>Baja</v>
      </c>
      <c r="D13" s="87" t="str">
        <f>+'3 PROBABIL E IMPACTO INHERENTE'!N13</f>
        <v>Menor</v>
      </c>
      <c r="E13" s="86" t="str">
        <f t="shared" si="0"/>
        <v>Moderado</v>
      </c>
      <c r="F13" s="88"/>
      <c r="G13" s="484"/>
      <c r="H13" s="98" t="s">
        <v>288</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82"/>
      <c r="P13" s="103">
        <v>0.2</v>
      </c>
      <c r="Q13" s="104" t="s">
        <v>288</v>
      </c>
      <c r="R13" s="99" t="s">
        <v>318</v>
      </c>
      <c r="S13" s="99" t="s">
        <v>318</v>
      </c>
      <c r="T13" s="100" t="s">
        <v>298</v>
      </c>
      <c r="U13" s="101" t="s">
        <v>316</v>
      </c>
      <c r="V13" s="102" t="s">
        <v>317</v>
      </c>
      <c r="Y13" s="72"/>
      <c r="Z13" s="72"/>
      <c r="AA13" s="84"/>
      <c r="AB13" s="94"/>
      <c r="AC13" s="95"/>
      <c r="AD13" s="92"/>
      <c r="AE13" s="92"/>
      <c r="AF13" s="92"/>
      <c r="AG13" s="105"/>
      <c r="AH13" s="92"/>
      <c r="AI13" s="84"/>
      <c r="AJ13" s="84"/>
    </row>
    <row r="14" spans="1:36" ht="93" customHeight="1" x14ac:dyDescent="0.2">
      <c r="A14" s="85" t="str">
        <f>'2 CONTEXTO E IDENTIFICACIÓN'!A14</f>
        <v>R6</v>
      </c>
      <c r="B14" s="86" t="str">
        <f>+'2 CONTEXTO E IDENTIFICACIÓN'!J14</f>
        <v xml:space="preserve"> por a causa de </v>
      </c>
      <c r="C14" s="87" t="str">
        <f>+'3 PROBABIL E IMPACTO INHERENTE'!F14</f>
        <v/>
      </c>
      <c r="D14" s="87" t="str">
        <f>+'3 PROBABIL E IMPACTO INHERENTE'!N14</f>
        <v/>
      </c>
      <c r="E14" s="86" t="str">
        <f t="shared" si="0"/>
        <v/>
      </c>
      <c r="F14" s="88"/>
      <c r="G14" s="88"/>
      <c r="H14" s="88"/>
      <c r="I14" s="88"/>
      <c r="J14" s="88"/>
      <c r="K14" s="88"/>
      <c r="L14" s="88"/>
      <c r="M14" s="88"/>
      <c r="N14" s="88"/>
      <c r="Y14" s="72"/>
      <c r="Z14" s="72"/>
      <c r="AA14" s="84"/>
      <c r="AB14" s="94"/>
      <c r="AC14" s="95"/>
      <c r="AD14" s="92"/>
      <c r="AE14" s="92"/>
      <c r="AF14" s="92"/>
      <c r="AG14" s="92"/>
      <c r="AH14" s="92"/>
      <c r="AI14" s="84"/>
      <c r="AJ14" s="84"/>
    </row>
    <row r="15" spans="1:36" ht="93" customHeight="1" x14ac:dyDescent="0.2">
      <c r="A15" s="85" t="str">
        <f>'2 CONTEXTO E IDENTIFICACIÓN'!A15</f>
        <v>R7</v>
      </c>
      <c r="B15" s="86" t="str">
        <f>+'2 CONTEXTO E IDENTIFICACIÓN'!J15</f>
        <v xml:space="preserve"> por a causa de </v>
      </c>
      <c r="C15" s="87" t="str">
        <f>+'3 PROBABIL E IMPACTO INHERENTE'!F15</f>
        <v/>
      </c>
      <c r="D15" s="87" t="str">
        <f>+'3 PROBABIL E IMPACTO INHERENTE'!N15</f>
        <v/>
      </c>
      <c r="E15" s="86" t="str">
        <f t="shared" si="0"/>
        <v/>
      </c>
      <c r="F15" s="88"/>
      <c r="G15" s="88"/>
      <c r="H15" s="88"/>
      <c r="I15" s="88"/>
      <c r="J15" s="88"/>
      <c r="K15" s="88"/>
      <c r="L15" s="88"/>
      <c r="M15" s="88"/>
      <c r="N15" s="88"/>
      <c r="R15" s="76" t="s">
        <v>319</v>
      </c>
      <c r="T15" s="72"/>
      <c r="U15" s="72"/>
      <c r="V15" s="72"/>
      <c r="W15" s="72"/>
      <c r="X15" s="72"/>
      <c r="Y15" s="72"/>
      <c r="Z15" s="72"/>
      <c r="AA15" s="84"/>
      <c r="AB15" s="94"/>
      <c r="AC15" s="84"/>
      <c r="AD15" s="95"/>
      <c r="AE15" s="95"/>
      <c r="AF15" s="95"/>
      <c r="AG15" s="95"/>
      <c r="AH15" s="95"/>
      <c r="AI15" s="84"/>
      <c r="AJ15" s="84"/>
    </row>
    <row r="16" spans="1:36" ht="93" customHeight="1" x14ac:dyDescent="0.2">
      <c r="A16" s="85" t="str">
        <f>'2 CONTEXTO E IDENTIFICACIÓN'!A16</f>
        <v>R8</v>
      </c>
      <c r="B16" s="86" t="str">
        <f>+'2 CONTEXTO E IDENTIFICACIÓN'!J16</f>
        <v xml:space="preserve"> por a causa de </v>
      </c>
      <c r="C16" s="87" t="str">
        <f>+'3 PROBABIL E IMPACTO INHERENTE'!F16</f>
        <v/>
      </c>
      <c r="D16" s="87" t="str">
        <f>+'3 PROBABIL E IMPACTO INHERENTE'!N16</f>
        <v/>
      </c>
      <c r="E16" s="86" t="str">
        <f t="shared" si="0"/>
        <v/>
      </c>
      <c r="F16" s="88"/>
      <c r="G16" s="88"/>
      <c r="H16" s="88"/>
      <c r="I16" s="88"/>
      <c r="J16" s="88"/>
      <c r="K16" s="88"/>
      <c r="L16" s="88"/>
      <c r="M16" s="88"/>
      <c r="N16" s="88"/>
      <c r="R16" s="106" t="s">
        <v>317</v>
      </c>
      <c r="T16" s="72"/>
      <c r="U16" s="72"/>
      <c r="V16" s="72"/>
      <c r="W16" s="72"/>
      <c r="X16" s="72"/>
      <c r="Y16" s="72"/>
      <c r="Z16" s="72"/>
      <c r="AA16" s="84"/>
      <c r="AB16" s="84"/>
      <c r="AC16" s="84"/>
      <c r="AD16" s="92"/>
      <c r="AE16" s="92"/>
      <c r="AF16" s="92"/>
      <c r="AG16" s="92"/>
      <c r="AH16" s="92"/>
      <c r="AI16" s="84"/>
      <c r="AJ16" s="84"/>
    </row>
    <row r="17" spans="1:36" ht="93" customHeight="1" x14ac:dyDescent="0.2">
      <c r="A17" s="85" t="str">
        <f>'2 CONTEXTO E IDENTIFICACIÓN'!A17</f>
        <v>R9</v>
      </c>
      <c r="B17" s="86" t="str">
        <f>+'2 CONTEXTO E IDENTIFICACIÓN'!J17</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316</v>
      </c>
      <c r="S17" s="72"/>
      <c r="T17" s="72"/>
      <c r="U17" s="72"/>
      <c r="V17" s="72"/>
      <c r="W17" s="72"/>
      <c r="X17" s="72"/>
      <c r="Y17" s="72"/>
      <c r="Z17" s="72"/>
      <c r="AA17" s="84"/>
      <c r="AB17" s="84"/>
      <c r="AC17" s="84"/>
      <c r="AD17" s="92"/>
      <c r="AE17" s="92"/>
      <c r="AF17" s="92"/>
      <c r="AG17" s="92"/>
      <c r="AH17" s="92"/>
      <c r="AI17" s="84"/>
      <c r="AJ17" s="84"/>
    </row>
    <row r="18" spans="1:36" ht="93" customHeight="1" x14ac:dyDescent="0.2">
      <c r="A18" s="85" t="str">
        <f>'2 CONTEXTO E IDENTIFICACIÓN'!A18</f>
        <v>R10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298</v>
      </c>
      <c r="S18" s="107"/>
      <c r="T18" s="107"/>
      <c r="U18" s="107"/>
      <c r="V18" s="107"/>
      <c r="W18" s="107"/>
      <c r="X18" s="107"/>
      <c r="Y18" s="107"/>
      <c r="Z18" s="107"/>
      <c r="AA18" s="84"/>
      <c r="AB18" s="84"/>
      <c r="AC18" s="108"/>
      <c r="AD18" s="108"/>
      <c r="AE18" s="108"/>
      <c r="AF18" s="108"/>
      <c r="AG18" s="108"/>
      <c r="AH18" s="108"/>
      <c r="AI18" s="84"/>
      <c r="AJ18" s="84"/>
    </row>
    <row r="19" spans="1:36" ht="93" customHeight="1" x14ac:dyDescent="0.2">
      <c r="A19" s="85" t="str">
        <f>'2 CONTEXTO E IDENTIFICACIÓN'!A19</f>
        <v>R11</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318</v>
      </c>
      <c r="Y19" s="107"/>
      <c r="Z19" s="107"/>
      <c r="AA19" s="84"/>
      <c r="AB19" s="84"/>
      <c r="AC19" s="84"/>
      <c r="AD19" s="92"/>
      <c r="AE19" s="92"/>
      <c r="AF19" s="92"/>
      <c r="AG19" s="92"/>
      <c r="AH19" s="92"/>
      <c r="AI19" s="84"/>
      <c r="AJ19" s="84"/>
    </row>
    <row r="20" spans="1:36" ht="93" customHeight="1" x14ac:dyDescent="0.2">
      <c r="A20" s="85" t="str">
        <f>'2 CONTEXTO E IDENTIFICACIÓN'!A20</f>
        <v>R12</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customHeight="1" x14ac:dyDescent="0.2">
      <c r="A21" s="85" t="str">
        <f>'2 CONTEXTO E IDENTIFICACIÓN'!A21</f>
        <v>R13</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customHeight="1" x14ac:dyDescent="0.2">
      <c r="A22" s="85" t="str">
        <f>'2 CONTEXTO E IDENTIFICACIÓN'!A22</f>
        <v>R14</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customHeight="1" x14ac:dyDescent="0.2">
      <c r="A23" s="85" t="str">
        <f>'2 CONTEXTO E IDENTIFICACIÓN'!A23</f>
        <v>R15</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customHeight="1" x14ac:dyDescent="0.2">
      <c r="A24" s="85" t="str">
        <f>'2 CONTEXTO E IDENTIFICACIÓN'!A24</f>
        <v>R16</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customHeight="1" x14ac:dyDescent="0.25">
      <c r="A25" s="85" t="str">
        <f>'2 CONTEXTO E IDENTIFICACIÓN'!A25</f>
        <v>R17</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customHeight="1" x14ac:dyDescent="0.25">
      <c r="A26" s="85" t="str">
        <f>'2 CONTEXTO E IDENTIFICACIÓN'!A26</f>
        <v>R18</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customHeight="1" x14ac:dyDescent="0.25">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customHeight="1" x14ac:dyDescent="0.25">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5" customHeight="1" x14ac:dyDescent="0.25">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25">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25">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25">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25">
      <c r="Y33" s="73"/>
      <c r="Z33" s="73"/>
      <c r="AA33" s="73"/>
      <c r="AB33" s="73"/>
      <c r="AC33" s="73"/>
    </row>
    <row r="34" spans="25:29" s="68" customFormat="1" ht="19.5" customHeight="1" x14ac:dyDescent="0.25">
      <c r="Y34" s="73"/>
      <c r="Z34" s="73"/>
      <c r="AA34" s="73"/>
      <c r="AB34" s="73"/>
      <c r="AC34" s="73"/>
    </row>
    <row r="35" spans="25:29" s="68" customFormat="1" ht="19.5" customHeight="1" x14ac:dyDescent="0.25">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8"/>
  <sheetViews>
    <sheetView showGridLines="0" zoomScale="80" zoomScaleNormal="80" zoomScaleSheetLayoutView="10" workbookViewId="0">
      <pane xSplit="1" ySplit="7" topLeftCell="C26" activePane="bottomRight" state="frozen"/>
      <selection pane="topRight" activeCell="B1" sqref="B1"/>
      <selection pane="bottomLeft" activeCell="A7" sqref="A7"/>
      <selection pane="bottomRight" activeCell="O32" sqref="O32"/>
    </sheetView>
  </sheetViews>
  <sheetFormatPr baseColWidth="10" defaultColWidth="11.42578125" defaultRowHeight="14.25" x14ac:dyDescent="0.25"/>
  <cols>
    <col min="1" max="1" width="14.85546875" style="44" customWidth="1"/>
    <col min="2" max="2" width="48" style="44" customWidth="1"/>
    <col min="3" max="3" width="15.42578125" style="44" customWidth="1"/>
    <col min="4" max="4" width="11.42578125" style="44" customWidth="1"/>
    <col min="5" max="5" width="10.140625" style="44" customWidth="1"/>
    <col min="6" max="6" width="24.28515625" style="44" customWidth="1"/>
    <col min="7" max="7" width="46.28515625" style="44" customWidth="1"/>
    <col min="8" max="8" width="47.28515625" style="44" customWidth="1"/>
    <col min="9" max="9" width="57.5703125" style="44" customWidth="1"/>
    <col min="10" max="10" width="15.42578125" style="44" customWidth="1"/>
    <col min="11" max="11" width="12.140625" style="51" customWidth="1"/>
    <col min="12" max="12" width="14.140625" style="51" customWidth="1"/>
    <col min="13" max="13" width="19.42578125" style="44" bestFit="1" customWidth="1"/>
    <col min="14" max="14" width="12.140625" style="51" customWidth="1"/>
    <col min="15" max="15" width="18.85546875" style="51" customWidth="1"/>
    <col min="16" max="16" width="16.42578125" style="51" bestFit="1" customWidth="1"/>
    <col min="17" max="17" width="14.42578125" style="51" customWidth="1"/>
    <col min="18" max="18" width="13" style="51" customWidth="1"/>
    <col min="19" max="19" width="13.42578125" style="299" customWidth="1"/>
    <col min="20" max="20" width="19.42578125" style="299" customWidth="1"/>
    <col min="21" max="21" width="12.42578125" style="299" customWidth="1"/>
    <col min="22" max="22" width="16.42578125" style="145" customWidth="1"/>
    <col min="23" max="23" width="14.42578125" style="145" customWidth="1"/>
    <col min="24" max="24" width="11.42578125" style="44"/>
    <col min="25" max="25" width="21.42578125" style="4" customWidth="1"/>
    <col min="26" max="26" width="7.42578125" style="4" bestFit="1" customWidth="1"/>
    <col min="27" max="27" width="8.42578125" style="4" bestFit="1" customWidth="1"/>
    <col min="28" max="16384" width="11.42578125" style="44"/>
  </cols>
  <sheetData>
    <row r="1" spans="1:27" s="40" customFormat="1" ht="45" customHeight="1" x14ac:dyDescent="0.2">
      <c r="A1" s="463"/>
      <c r="B1" s="503" t="str">
        <f>+'2 CONTEXTO E IDENTIFICACIÓN'!A1</f>
        <v>MAPA DE RIESGOS</v>
      </c>
      <c r="C1" s="475"/>
      <c r="D1" s="476"/>
      <c r="E1" s="296"/>
      <c r="F1" s="3"/>
      <c r="G1" s="218" t="str">
        <f>+'2 CONTEXTO E IDENTIFICACIÓN'!$I$4</f>
        <v>Elaboración o Actualización:</v>
      </c>
      <c r="H1" s="232">
        <f>'2 CONTEXTO E IDENTIFICACIÓN'!J4</f>
        <v>0</v>
      </c>
      <c r="I1" s="13"/>
      <c r="J1" s="13"/>
      <c r="K1" s="13"/>
      <c r="L1" s="43"/>
      <c r="M1" s="42"/>
      <c r="N1" s="43"/>
      <c r="O1" s="43"/>
      <c r="P1" s="43"/>
      <c r="Q1" s="43"/>
      <c r="R1" s="43"/>
      <c r="S1" s="293"/>
      <c r="T1" s="43"/>
      <c r="U1" s="43"/>
      <c r="V1" s="145"/>
      <c r="W1" s="145"/>
      <c r="X1" s="38"/>
      <c r="Y1" s="4"/>
      <c r="Z1" s="4"/>
      <c r="AA1" s="4"/>
    </row>
    <row r="2" spans="1:27" s="40" customFormat="1" ht="45" customHeight="1" x14ac:dyDescent="0.2">
      <c r="A2" s="463"/>
      <c r="B2" s="504"/>
      <c r="C2" s="39" t="str">
        <f>+'2 CONTEXTO E IDENTIFICACIÓN'!A2</f>
        <v>VERSIÓN:</v>
      </c>
      <c r="D2" s="39">
        <f>'2 CONTEXTO E IDENTIFICACIÓN'!B2</f>
        <v>0</v>
      </c>
      <c r="E2" s="296"/>
      <c r="F2" s="296"/>
      <c r="G2" s="221" t="str">
        <f>+'2 CONTEXTO E IDENTIFICACIÓN'!$E$5</f>
        <v xml:space="preserve">Vigencia: </v>
      </c>
      <c r="H2" s="219">
        <f>'2 CONTEXTO E IDENTIFICACIÓN'!G5</f>
        <v>0</v>
      </c>
      <c r="I2" s="220" t="s">
        <v>100</v>
      </c>
      <c r="J2" s="217">
        <f>'2 CONTEXTO E IDENTIFICACIÓN'!J5</f>
        <v>0</v>
      </c>
      <c r="K2" s="296"/>
      <c r="L2" s="46"/>
      <c r="M2" s="45"/>
      <c r="N2" s="46"/>
      <c r="O2" s="46"/>
      <c r="P2" s="46"/>
      <c r="Q2" s="46"/>
      <c r="R2" s="46"/>
      <c r="S2" s="293"/>
      <c r="T2" s="43"/>
      <c r="U2" s="296"/>
      <c r="V2" s="145"/>
      <c r="W2" s="292"/>
      <c r="X2" s="38"/>
      <c r="Y2" s="3"/>
      <c r="Z2" s="3"/>
      <c r="AA2" s="3"/>
    </row>
    <row r="3" spans="1:27" s="40" customFormat="1" ht="15.75" thickBot="1" x14ac:dyDescent="0.25">
      <c r="A3" s="12" t="s">
        <v>95</v>
      </c>
      <c r="B3" s="465">
        <f>'2 CONTEXTO E IDENTIFICACIÓN'!B4</f>
        <v>0</v>
      </c>
      <c r="C3" s="465"/>
      <c r="D3" s="465"/>
      <c r="E3" s="354"/>
      <c r="F3" s="296"/>
      <c r="G3" s="354"/>
      <c r="H3" s="354"/>
      <c r="I3" s="354"/>
      <c r="J3" s="354"/>
      <c r="K3" s="355"/>
      <c r="L3" s="355"/>
      <c r="M3" s="354"/>
      <c r="N3" s="355"/>
      <c r="O3" s="355"/>
      <c r="P3" s="355"/>
      <c r="Q3" s="355"/>
      <c r="R3" s="355"/>
      <c r="S3" s="297"/>
      <c r="T3" s="297"/>
      <c r="U3" s="297"/>
      <c r="V3" s="145"/>
      <c r="W3" s="145"/>
      <c r="X3" s="38"/>
      <c r="Y3" s="3"/>
      <c r="Z3" s="3"/>
      <c r="AA3" s="3"/>
    </row>
    <row r="4" spans="1:27" s="48" customFormat="1" ht="16.5" customHeight="1" x14ac:dyDescent="0.25">
      <c r="A4" s="12" t="s">
        <v>96</v>
      </c>
      <c r="B4" s="465">
        <f>'2 CONTEXTO E IDENTIFICACIÓN'!F4</f>
        <v>0</v>
      </c>
      <c r="C4" s="466"/>
      <c r="D4" s="466"/>
      <c r="E4" s="47" t="s">
        <v>320</v>
      </c>
      <c r="F4" s="45" t="s">
        <v>321</v>
      </c>
      <c r="G4" s="47"/>
      <c r="H4" s="47"/>
      <c r="I4" s="47"/>
      <c r="J4" s="356"/>
      <c r="K4" s="356"/>
      <c r="L4" s="356"/>
      <c r="M4" s="356"/>
      <c r="N4" s="356"/>
      <c r="O4" s="356"/>
      <c r="P4" s="356"/>
      <c r="Q4" s="356"/>
      <c r="R4" s="356"/>
      <c r="S4" s="500" t="s">
        <v>322</v>
      </c>
      <c r="T4" s="500" t="s">
        <v>323</v>
      </c>
      <c r="U4" s="500" t="s">
        <v>65</v>
      </c>
      <c r="V4" s="145"/>
      <c r="W4" s="145"/>
      <c r="X4" s="38"/>
      <c r="Y4" s="456" t="s">
        <v>324</v>
      </c>
      <c r="Z4" s="457"/>
      <c r="AA4" s="458"/>
    </row>
    <row r="5" spans="1:27" s="48" customFormat="1" ht="16.5" customHeight="1" x14ac:dyDescent="0.25">
      <c r="A5" s="225"/>
      <c r="B5" s="224"/>
      <c r="C5" s="224"/>
      <c r="D5" s="145"/>
      <c r="E5" s="47"/>
      <c r="F5" s="47"/>
      <c r="G5" s="47"/>
      <c r="H5" s="47"/>
      <c r="I5" s="47"/>
      <c r="J5" s="515" t="s">
        <v>325</v>
      </c>
      <c r="K5" s="516"/>
      <c r="L5" s="516"/>
      <c r="M5" s="516"/>
      <c r="N5" s="516"/>
      <c r="O5" s="516"/>
      <c r="P5" s="516"/>
      <c r="Q5" s="516"/>
      <c r="R5" s="517"/>
      <c r="S5" s="501"/>
      <c r="T5" s="501"/>
      <c r="U5" s="501"/>
      <c r="V5" s="145"/>
      <c r="W5" s="145"/>
      <c r="X5" s="38"/>
      <c r="Y5" s="21" t="s">
        <v>279</v>
      </c>
      <c r="Z5" s="22" t="s">
        <v>326</v>
      </c>
      <c r="AA5" s="23" t="s">
        <v>327</v>
      </c>
    </row>
    <row r="6" spans="1:27" ht="29.25" customHeight="1" x14ac:dyDescent="0.25">
      <c r="A6" s="492" t="s">
        <v>273</v>
      </c>
      <c r="B6" s="492" t="s">
        <v>274</v>
      </c>
      <c r="C6" s="492" t="s">
        <v>328</v>
      </c>
      <c r="D6" s="492" t="s">
        <v>329</v>
      </c>
      <c r="E6" s="505" t="s">
        <v>330</v>
      </c>
      <c r="F6" s="510" t="s">
        <v>47</v>
      </c>
      <c r="G6" s="511"/>
      <c r="H6" s="505"/>
      <c r="I6" s="184"/>
      <c r="J6" s="507" t="s">
        <v>137</v>
      </c>
      <c r="K6" s="508"/>
      <c r="L6" s="508"/>
      <c r="M6" s="508"/>
      <c r="N6" s="509"/>
      <c r="O6" s="512" t="s">
        <v>331</v>
      </c>
      <c r="P6" s="513"/>
      <c r="Q6" s="513"/>
      <c r="R6" s="514"/>
      <c r="S6" s="502"/>
      <c r="T6" s="502"/>
      <c r="U6" s="502"/>
      <c r="X6" s="38"/>
      <c r="Y6" s="305" t="s">
        <v>288</v>
      </c>
      <c r="Z6" s="28">
        <v>0.01</v>
      </c>
      <c r="AA6" s="27">
        <v>0.2</v>
      </c>
    </row>
    <row r="7" spans="1:27" s="38" customFormat="1" ht="72" thickBot="1" x14ac:dyDescent="0.3">
      <c r="A7" s="493"/>
      <c r="B7" s="493"/>
      <c r="C7" s="493"/>
      <c r="D7" s="493"/>
      <c r="E7" s="506"/>
      <c r="F7" s="49" t="s">
        <v>332</v>
      </c>
      <c r="G7" s="144" t="s">
        <v>333</v>
      </c>
      <c r="H7" s="144" t="s">
        <v>334</v>
      </c>
      <c r="I7" s="144" t="s">
        <v>335</v>
      </c>
      <c r="J7" s="49" t="s">
        <v>49</v>
      </c>
      <c r="K7" s="50" t="s">
        <v>51</v>
      </c>
      <c r="L7" s="50" t="s">
        <v>53</v>
      </c>
      <c r="M7" s="49" t="s">
        <v>54</v>
      </c>
      <c r="N7" s="50" t="s">
        <v>56</v>
      </c>
      <c r="O7" s="50" t="s">
        <v>141</v>
      </c>
      <c r="P7" s="50" t="s">
        <v>142</v>
      </c>
      <c r="Q7" s="50" t="s">
        <v>336</v>
      </c>
      <c r="R7" s="50" t="s">
        <v>337</v>
      </c>
      <c r="S7" s="50" t="s">
        <v>60</v>
      </c>
      <c r="T7" s="50" t="s">
        <v>62</v>
      </c>
      <c r="U7" s="286" t="s">
        <v>64</v>
      </c>
      <c r="V7" s="50" t="s">
        <v>338</v>
      </c>
      <c r="W7" s="50" t="s">
        <v>339</v>
      </c>
      <c r="Y7" s="306" t="s">
        <v>292</v>
      </c>
      <c r="Z7" s="28">
        <v>0.21</v>
      </c>
      <c r="AA7" s="27">
        <v>0.4</v>
      </c>
    </row>
    <row r="8" spans="1:27" ht="227.25" customHeight="1" thickBot="1" x14ac:dyDescent="0.3">
      <c r="A8" s="518" t="str">
        <f>'2 CONTEXTO E IDENTIFICACIÓN'!A9</f>
        <v>R1</v>
      </c>
      <c r="B8" s="522" t="str">
        <f>+'2 CONTEXTO E IDENTIFICACIÓN'!J9</f>
        <v>Posibilidad de perdida de confidencialidad por acceso indebido a la información reservada y clasificada de los servidores y exservidores de la Entidad a causa de la falta de control en el prestamo y custadia de las Historias Laborales.</v>
      </c>
      <c r="C8" s="494">
        <f>+'3 PROBABIL E IMPACTO INHERENTE'!E9</f>
        <v>0.6</v>
      </c>
      <c r="D8" s="497">
        <f>+'3 PROBABIL E IMPACTO INHERENTE'!M9</f>
        <v>0.4</v>
      </c>
      <c r="E8" s="357">
        <v>1</v>
      </c>
      <c r="F8" s="328" t="s">
        <v>394</v>
      </c>
      <c r="G8" s="52" t="s">
        <v>383</v>
      </c>
      <c r="H8" s="52" t="s">
        <v>385</v>
      </c>
      <c r="I8" s="285" t="str">
        <f t="shared" ref="I8:I71" si="0">+CONCATENATE(F8," ",G8," ",H8)</f>
        <v xml:space="preserve">El Auxiliar Administrativo GITH custodia el acceso a los expedientes de las historias laborales a través del diligenciamiento del formato de control con la información suministrada por el interesado, asi mismo, valida la motivación de la solicitud de acceso al expediente. En caso de no contar con justificación sufiente (aplica para personal diferente al titular o personal que no hace parte de GTH) negar el acceso a la documentación. </v>
      </c>
      <c r="J8" s="208" t="s">
        <v>151</v>
      </c>
      <c r="K8" s="298">
        <f>+IFERROR(VLOOKUP($J8,'11 FORMULAS'!$B$51:$C$53,2,0),"")</f>
        <v>0.25</v>
      </c>
      <c r="L8" s="298" t="str">
        <f>+IFERROR(VLOOKUP($J8,'11 FORMULAS'!$B$51:$D$53,3,0),"")</f>
        <v>Probabilidad</v>
      </c>
      <c r="M8" s="358" t="s">
        <v>163</v>
      </c>
      <c r="N8" s="359">
        <f>+IFERROR(VLOOKUP($M8,'11 FORMULAS'!$B$54:$C$55,2,0),"")</f>
        <v>0.15</v>
      </c>
      <c r="O8" s="360" t="s">
        <v>174</v>
      </c>
      <c r="P8" s="360" t="s">
        <v>255</v>
      </c>
      <c r="Q8" s="360" t="s">
        <v>166</v>
      </c>
      <c r="R8" s="360" t="s">
        <v>156</v>
      </c>
      <c r="S8" s="298">
        <f>+IFERROR($K8+$N8,"")</f>
        <v>0.4</v>
      </c>
      <c r="T8" s="298">
        <f>IF($L8='11 FORMULAS'!$D$51,$C$8-($C$8*$S$8),$C$8)</f>
        <v>0.36</v>
      </c>
      <c r="U8" s="298">
        <f>IF(L8='11 FORMULAS'!$D$53,$D8-($D8*$S8),$D8)</f>
        <v>0.4</v>
      </c>
      <c r="V8" s="534">
        <f>+IF(T13="","",T13)</f>
        <v>0.36</v>
      </c>
      <c r="W8" s="537">
        <f>+IF(U13="","",U13)</f>
        <v>0.4</v>
      </c>
      <c r="X8" s="38"/>
      <c r="Y8" s="307" t="s">
        <v>296</v>
      </c>
      <c r="Z8" s="28">
        <v>0.41</v>
      </c>
      <c r="AA8" s="27">
        <v>0.6</v>
      </c>
    </row>
    <row r="9" spans="1:27" ht="156.75" customHeight="1" thickBot="1" x14ac:dyDescent="0.3">
      <c r="A9" s="520"/>
      <c r="B9" s="524"/>
      <c r="C9" s="495"/>
      <c r="D9" s="498"/>
      <c r="E9" s="357">
        <v>2</v>
      </c>
      <c r="F9" s="328" t="s">
        <v>394</v>
      </c>
      <c r="G9" s="208" t="s">
        <v>384</v>
      </c>
      <c r="H9" s="208" t="s">
        <v>386</v>
      </c>
      <c r="I9" s="285" t="str">
        <f t="shared" si="0"/>
        <v>El Auxiliar Administrativo GITH gestiona el préstamo documental a través del diligenciamiento del formato  llevando el control de los expedientes en prestamo. En caso de pérdida o daño documental se realiza el requerimiento formal al solicitante y se reporta a control interno disciplinario para realizar la investigación correspondiente.</v>
      </c>
      <c r="J9" s="208" t="s">
        <v>151</v>
      </c>
      <c r="K9" s="298">
        <f>+IFERROR(VLOOKUP($J9,'11 FORMULAS'!$B$51:$C$53,2,0),"")</f>
        <v>0.25</v>
      </c>
      <c r="L9" s="298" t="str">
        <f>+IFERROR(VLOOKUP($J9,'11 FORMULAS'!$B$51:$D$53,3,0),"")</f>
        <v>Probabilidad</v>
      </c>
      <c r="M9" s="358" t="s">
        <v>163</v>
      </c>
      <c r="N9" s="359">
        <f>+IFERROR(VLOOKUP($M9,'11 FORMULAS'!$B$54:$C$55,2,0),"")</f>
        <v>0.15</v>
      </c>
      <c r="O9" s="360" t="s">
        <v>174</v>
      </c>
      <c r="P9" s="360" t="s">
        <v>255</v>
      </c>
      <c r="Q9" s="360" t="s">
        <v>166</v>
      </c>
      <c r="R9" s="360" t="s">
        <v>156</v>
      </c>
      <c r="S9" s="298">
        <f t="shared" ref="S9:S72" si="1">+IFERROR($K9+$N9,"")</f>
        <v>0.4</v>
      </c>
      <c r="T9" s="298">
        <f>IF($L9='11 FORMULAS'!$D$51,$C$8-($C$8*$S$8),$C$8)</f>
        <v>0.36</v>
      </c>
      <c r="U9" s="298">
        <f>IF(L9='11 FORMULAS'!$D$53,$D$8-($D$8*$S$8),$D$8)</f>
        <v>0.4</v>
      </c>
      <c r="V9" s="535"/>
      <c r="W9" s="538"/>
      <c r="X9" s="38"/>
      <c r="Y9" s="32" t="s">
        <v>301</v>
      </c>
      <c r="Z9" s="28">
        <v>0.61</v>
      </c>
      <c r="AA9" s="27">
        <v>0.8</v>
      </c>
    </row>
    <row r="10" spans="1:27" ht="29.45" hidden="1" customHeight="1" thickBot="1" x14ac:dyDescent="0.3">
      <c r="A10" s="520"/>
      <c r="B10" s="524"/>
      <c r="C10" s="495"/>
      <c r="D10" s="498"/>
      <c r="E10" s="357">
        <v>3</v>
      </c>
      <c r="F10" s="327"/>
      <c r="G10" s="208"/>
      <c r="H10" s="208"/>
      <c r="I10" s="285" t="str">
        <f t="shared" si="0"/>
        <v xml:space="preserve">  </v>
      </c>
      <c r="J10" s="208" t="s">
        <v>151</v>
      </c>
      <c r="K10" s="298">
        <f>+IFERROR(VLOOKUP($J10,'11 FORMULAS'!$B$51:$C$53,2,0),"")</f>
        <v>0.25</v>
      </c>
      <c r="L10" s="298" t="str">
        <f>+IFERROR(VLOOKUP($J10,'11 FORMULAS'!$B$51:$D$53,3,0),"")</f>
        <v>Probabilidad</v>
      </c>
      <c r="M10" s="358" t="s">
        <v>152</v>
      </c>
      <c r="N10" s="359">
        <f>+IFERROR(VLOOKUP($M10,'11 FORMULAS'!$B$54:$C$55,2,0),"")</f>
        <v>0.25</v>
      </c>
      <c r="O10" s="360" t="s">
        <v>164</v>
      </c>
      <c r="P10" s="360" t="s">
        <v>257</v>
      </c>
      <c r="Q10" s="360" t="s">
        <v>155</v>
      </c>
      <c r="R10" s="360" t="s">
        <v>265</v>
      </c>
      <c r="S10" s="298">
        <f t="shared" si="1"/>
        <v>0.5</v>
      </c>
      <c r="T10" s="298">
        <f>IF($L10='11 FORMULAS'!$D$51,$C$8-($C$8*$S$8),$C$8)</f>
        <v>0.36</v>
      </c>
      <c r="U10" s="298">
        <f>IF(L10='11 FORMULAS'!$D$53,$D$8-($D$8*$S$8),$D$8)</f>
        <v>0.4</v>
      </c>
      <c r="V10" s="535"/>
      <c r="W10" s="538"/>
      <c r="X10" s="38"/>
      <c r="Y10" s="308" t="s">
        <v>306</v>
      </c>
      <c r="Z10" s="28">
        <v>0.81</v>
      </c>
      <c r="AA10" s="27">
        <v>1</v>
      </c>
    </row>
    <row r="11" spans="1:27" ht="29.45" hidden="1" customHeight="1" thickBot="1" x14ac:dyDescent="0.3">
      <c r="A11" s="520"/>
      <c r="B11" s="524"/>
      <c r="C11" s="495"/>
      <c r="D11" s="498"/>
      <c r="E11" s="357">
        <v>4</v>
      </c>
      <c r="F11" s="327"/>
      <c r="G11" s="208"/>
      <c r="H11" s="208"/>
      <c r="I11" s="285" t="str">
        <f t="shared" si="0"/>
        <v xml:space="preserve">  </v>
      </c>
      <c r="J11" s="208" t="s">
        <v>151</v>
      </c>
      <c r="K11" s="298">
        <f>+IFERROR(VLOOKUP($J11,'11 FORMULAS'!$B$51:$C$53,2,0),"")</f>
        <v>0.25</v>
      </c>
      <c r="L11" s="298" t="str">
        <f>+IFERROR(VLOOKUP($J11,'11 FORMULAS'!$B$51:$D$53,3,0),"")</f>
        <v>Probabilidad</v>
      </c>
      <c r="M11" s="358" t="s">
        <v>152</v>
      </c>
      <c r="N11" s="359">
        <f>+IFERROR(VLOOKUP($M11,'11 FORMULAS'!$B$54:$C$55,2,0),"")</f>
        <v>0.25</v>
      </c>
      <c r="O11" s="360" t="s">
        <v>164</v>
      </c>
      <c r="P11" s="360" t="s">
        <v>257</v>
      </c>
      <c r="Q11" s="360" t="s">
        <v>155</v>
      </c>
      <c r="R11" s="360" t="s">
        <v>265</v>
      </c>
      <c r="S11" s="298">
        <f t="shared" si="1"/>
        <v>0.5</v>
      </c>
      <c r="T11" s="298">
        <f>IF($L11='11 FORMULAS'!$D$51,$C$8-($C$8*$S$8),$C$8)</f>
        <v>0.36</v>
      </c>
      <c r="U11" s="298">
        <f>IF(L11='11 FORMULAS'!$D$53,$D$8-($D$8*$S$8),$D$8)</f>
        <v>0.4</v>
      </c>
      <c r="V11" s="535"/>
      <c r="W11" s="538"/>
      <c r="X11" s="38"/>
      <c r="Y11" s="294"/>
      <c r="Z11" s="294"/>
      <c r="AA11" s="294"/>
    </row>
    <row r="12" spans="1:27" ht="29.45" hidden="1" customHeight="1" thickBot="1" x14ac:dyDescent="0.3">
      <c r="A12" s="520"/>
      <c r="B12" s="524"/>
      <c r="C12" s="495"/>
      <c r="D12" s="498"/>
      <c r="E12" s="357">
        <v>5</v>
      </c>
      <c r="F12" s="327"/>
      <c r="G12" s="208"/>
      <c r="H12" s="208"/>
      <c r="I12" s="285" t="str">
        <f t="shared" si="0"/>
        <v xml:space="preserve">  </v>
      </c>
      <c r="J12" s="208" t="s">
        <v>151</v>
      </c>
      <c r="K12" s="298">
        <f>+IFERROR(VLOOKUP($J12,'11 FORMULAS'!$B$51:$C$53,2,0),"")</f>
        <v>0.25</v>
      </c>
      <c r="L12" s="298" t="str">
        <f>+IFERROR(VLOOKUP($J12,'11 FORMULAS'!$B$51:$D$53,3,0),"")</f>
        <v>Probabilidad</v>
      </c>
      <c r="M12" s="358" t="s">
        <v>152</v>
      </c>
      <c r="N12" s="359">
        <f>+IFERROR(VLOOKUP($M12,'11 FORMULAS'!$B$54:$C$55,2,0),"")</f>
        <v>0.25</v>
      </c>
      <c r="O12" s="360" t="s">
        <v>164</v>
      </c>
      <c r="P12" s="360" t="s">
        <v>257</v>
      </c>
      <c r="Q12" s="360" t="s">
        <v>155</v>
      </c>
      <c r="R12" s="360" t="s">
        <v>265</v>
      </c>
      <c r="S12" s="298">
        <f t="shared" si="1"/>
        <v>0.5</v>
      </c>
      <c r="T12" s="298">
        <f>IF($L12='11 FORMULAS'!$D$51,$C$8-($C$8*$S$8),$C$8)</f>
        <v>0.36</v>
      </c>
      <c r="U12" s="298">
        <f>IF(L12='11 FORMULAS'!$D$53,$D$8-($D$8*$S$8),$D$8)</f>
        <v>0.4</v>
      </c>
      <c r="V12" s="535"/>
      <c r="W12" s="538"/>
      <c r="X12" s="38"/>
      <c r="Y12" s="294"/>
      <c r="Z12" s="294"/>
      <c r="AA12" s="294"/>
    </row>
    <row r="13" spans="1:27" ht="29.45" hidden="1" customHeight="1" thickBot="1" x14ac:dyDescent="0.3">
      <c r="A13" s="521"/>
      <c r="B13" s="525"/>
      <c r="C13" s="496"/>
      <c r="D13" s="499"/>
      <c r="E13" s="361">
        <v>6</v>
      </c>
      <c r="F13" s="330"/>
      <c r="G13" s="209"/>
      <c r="H13" s="209"/>
      <c r="I13" s="285" t="str">
        <f t="shared" si="0"/>
        <v xml:space="preserve">  </v>
      </c>
      <c r="J13" s="208" t="s">
        <v>151</v>
      </c>
      <c r="K13" s="298">
        <f>+IFERROR(VLOOKUP($J13,'11 FORMULAS'!$B$51:$C$53,2,0),"")</f>
        <v>0.25</v>
      </c>
      <c r="L13" s="298" t="str">
        <f>+IFERROR(VLOOKUP($J13,'11 FORMULAS'!$B$51:$D$53,3,0),"")</f>
        <v>Probabilidad</v>
      </c>
      <c r="M13" s="358" t="s">
        <v>152</v>
      </c>
      <c r="N13" s="359">
        <f>+IFERROR(VLOOKUP($M13,'11 FORMULAS'!$B$54:$C$55,2,0),"")</f>
        <v>0.25</v>
      </c>
      <c r="O13" s="360" t="s">
        <v>164</v>
      </c>
      <c r="P13" s="360" t="s">
        <v>257</v>
      </c>
      <c r="Q13" s="360" t="s">
        <v>155</v>
      </c>
      <c r="R13" s="360" t="s">
        <v>265</v>
      </c>
      <c r="S13" s="298">
        <f t="shared" si="1"/>
        <v>0.5</v>
      </c>
      <c r="T13" s="298">
        <f>IF($L13='11 FORMULAS'!$D$51,$C$8-($C$8*$S$8),$C$8)</f>
        <v>0.36</v>
      </c>
      <c r="U13" s="298">
        <f>IF(L13='11 FORMULAS'!$D$53,$D$8-($D$8*$S$8),$D$8)</f>
        <v>0.4</v>
      </c>
      <c r="V13" s="536"/>
      <c r="W13" s="539"/>
      <c r="X13" s="38"/>
      <c r="Y13" s="294"/>
      <c r="Z13" s="294"/>
      <c r="AA13" s="294"/>
    </row>
    <row r="14" spans="1:27" ht="288.60000000000002" customHeight="1" thickBot="1" x14ac:dyDescent="0.3">
      <c r="A14" s="518" t="str">
        <f>'2 CONTEXTO E IDENTIFICACIÓN'!A10</f>
        <v>R2</v>
      </c>
      <c r="B14" s="522" t="str">
        <f>+'2 CONTEXTO E IDENTIFICACIÓN'!J10</f>
        <v>Posibilidad de afectación económica y reputacional por incumplimiento en la realización de las actividades del Plan Anual de trabajo de SG-SST a causa de falta de seguimiento al cumplimiento de las tareas programadas.</v>
      </c>
      <c r="C14" s="530">
        <f>+'3 PROBABIL E IMPACTO INHERENTE'!E10</f>
        <v>0.4</v>
      </c>
      <c r="D14" s="497">
        <f>+'3 PROBABIL E IMPACTO INHERENTE'!M10</f>
        <v>0.6</v>
      </c>
      <c r="E14" s="362">
        <v>1</v>
      </c>
      <c r="F14" s="328" t="s">
        <v>379</v>
      </c>
      <c r="G14" s="52" t="s">
        <v>401</v>
      </c>
      <c r="H14" s="52" t="s">
        <v>402</v>
      </c>
      <c r="I14" s="285" t="str">
        <f t="shared" si="0"/>
        <v>El líder del Sistema de Gestión de Seguridad y Salud en el Trabajo realiza el seguimiento de la ejecución de las actividades establecidas en el Plan Anual de trabajo de SG-SST de manera mensual registrando el avance en la matriz de seguimiento al cumplimiento de indicadores SG-SST.
En caso de evidenciar alteraciones se informa en el Comité Institucional de Gestión y Desempeño para revision por parte de la Alta Gerencia.</v>
      </c>
      <c r="J14" s="208" t="s">
        <v>151</v>
      </c>
      <c r="K14" s="298">
        <f>+IFERROR(VLOOKUP($J14,'11 FORMULAS'!$B$51:$C$53,2,0),"")</f>
        <v>0.25</v>
      </c>
      <c r="L14" s="298" t="str">
        <f>+IFERROR(VLOOKUP($J14,'11 FORMULAS'!$B$51:$D$53,3,0),"")</f>
        <v>Probabilidad</v>
      </c>
      <c r="M14" s="358" t="s">
        <v>163</v>
      </c>
      <c r="N14" s="359">
        <f>+IFERROR(VLOOKUP($M14,'11 FORMULAS'!$B$54:$C$55,2,0),"")</f>
        <v>0.15</v>
      </c>
      <c r="O14" s="360" t="s">
        <v>174</v>
      </c>
      <c r="P14" s="360" t="s">
        <v>257</v>
      </c>
      <c r="Q14" s="360" t="s">
        <v>155</v>
      </c>
      <c r="R14" s="360" t="s">
        <v>156</v>
      </c>
      <c r="S14" s="298">
        <f t="shared" si="1"/>
        <v>0.4</v>
      </c>
      <c r="T14" s="298">
        <f>IF($L14='11 FORMULAS'!$D$51,$C$8-($C$8*$S$8),$C$8)</f>
        <v>0.36</v>
      </c>
      <c r="U14" s="298">
        <f>IF(L14='11 FORMULAS'!$D$53,$D$14-($D$14*$S$14),$D$14)</f>
        <v>0.6</v>
      </c>
      <c r="V14" s="534">
        <f>+IF(T19="","",T19)</f>
        <v>0.36</v>
      </c>
      <c r="W14" s="537">
        <f>+IF(U19="","",U19)</f>
        <v>0.6</v>
      </c>
      <c r="X14" s="38"/>
      <c r="Y14" s="294"/>
      <c r="Z14" s="295"/>
      <c r="AA14" s="295"/>
    </row>
    <row r="15" spans="1:27" ht="29.45" hidden="1" customHeight="1" thickBot="1" x14ac:dyDescent="0.3">
      <c r="A15" s="520"/>
      <c r="B15" s="524"/>
      <c r="C15" s="531"/>
      <c r="D15" s="498"/>
      <c r="E15" s="357">
        <v>2</v>
      </c>
      <c r="F15" s="327"/>
      <c r="G15" s="208"/>
      <c r="H15" s="208"/>
      <c r="I15" s="285" t="str">
        <f t="shared" si="0"/>
        <v xml:space="preserve">  </v>
      </c>
      <c r="J15" s="208" t="s">
        <v>151</v>
      </c>
      <c r="K15" s="298">
        <f>+IFERROR(VLOOKUP($J15,'11 FORMULAS'!$B$51:$C$53,2,0),"")</f>
        <v>0.25</v>
      </c>
      <c r="L15" s="298" t="str">
        <f>+IFERROR(VLOOKUP($J15,'11 FORMULAS'!$B$51:$D$53,3,0),"")</f>
        <v>Probabilidad</v>
      </c>
      <c r="M15" s="358" t="s">
        <v>152</v>
      </c>
      <c r="N15" s="359">
        <f>+IFERROR(VLOOKUP($M15,'11 FORMULAS'!$B$54:$C$55,2,0),"")</f>
        <v>0.25</v>
      </c>
      <c r="O15" s="360" t="s">
        <v>164</v>
      </c>
      <c r="P15" s="360" t="s">
        <v>257</v>
      </c>
      <c r="Q15" s="360" t="s">
        <v>155</v>
      </c>
      <c r="R15" s="360" t="s">
        <v>265</v>
      </c>
      <c r="S15" s="298">
        <f t="shared" si="1"/>
        <v>0.5</v>
      </c>
      <c r="T15" s="298">
        <f>IF($L15='11 FORMULAS'!$D$51,$C$8-($C$8*$S$8),$C$8)</f>
        <v>0.36</v>
      </c>
      <c r="U15" s="298">
        <f>IF(L15='11 FORMULAS'!$D$53,$D$14-($D$14*$S$14),$D$14)</f>
        <v>0.6</v>
      </c>
      <c r="V15" s="535"/>
      <c r="W15" s="538"/>
      <c r="X15" s="38"/>
      <c r="Y15" s="294"/>
      <c r="Z15" s="295"/>
      <c r="AA15" s="295"/>
    </row>
    <row r="16" spans="1:27" ht="29.45" hidden="1" customHeight="1" thickBot="1" x14ac:dyDescent="0.3">
      <c r="A16" s="520"/>
      <c r="B16" s="524"/>
      <c r="C16" s="531"/>
      <c r="D16" s="498"/>
      <c r="E16" s="357">
        <v>3</v>
      </c>
      <c r="F16" s="327"/>
      <c r="G16" s="208"/>
      <c r="H16" s="208"/>
      <c r="I16" s="285" t="str">
        <f t="shared" si="0"/>
        <v xml:space="preserve">  </v>
      </c>
      <c r="J16" s="208" t="s">
        <v>151</v>
      </c>
      <c r="K16" s="298">
        <f>+IFERROR(VLOOKUP($J16,'11 FORMULAS'!$B$51:$C$53,2,0),"")</f>
        <v>0.25</v>
      </c>
      <c r="L16" s="298" t="str">
        <f>+IFERROR(VLOOKUP($J16,'11 FORMULAS'!$B$51:$D$53,3,0),"")</f>
        <v>Probabilidad</v>
      </c>
      <c r="M16" s="358" t="s">
        <v>152</v>
      </c>
      <c r="N16" s="359">
        <f>+IFERROR(VLOOKUP($M16,'11 FORMULAS'!$B$54:$C$55,2,0),"")</f>
        <v>0.25</v>
      </c>
      <c r="O16" s="360" t="s">
        <v>164</v>
      </c>
      <c r="P16" s="360" t="s">
        <v>257</v>
      </c>
      <c r="Q16" s="360" t="s">
        <v>155</v>
      </c>
      <c r="R16" s="360" t="s">
        <v>265</v>
      </c>
      <c r="S16" s="298">
        <f t="shared" si="1"/>
        <v>0.5</v>
      </c>
      <c r="T16" s="298">
        <f>IF($L16='11 FORMULAS'!$D$51,$C$8-($C$8*$S$8),$C$8)</f>
        <v>0.36</v>
      </c>
      <c r="U16" s="298">
        <f>IF(L16='11 FORMULAS'!$D$53,$D$14-($D$14*$S$14),$D$14)</f>
        <v>0.6</v>
      </c>
      <c r="V16" s="535"/>
      <c r="W16" s="538"/>
      <c r="X16" s="38"/>
      <c r="Y16" s="294"/>
      <c r="Z16" s="295"/>
      <c r="AA16" s="295"/>
    </row>
    <row r="17" spans="1:27" ht="29.45" hidden="1" customHeight="1" thickBot="1" x14ac:dyDescent="0.3">
      <c r="A17" s="528"/>
      <c r="B17" s="529"/>
      <c r="C17" s="531"/>
      <c r="D17" s="533"/>
      <c r="E17" s="357">
        <v>4</v>
      </c>
      <c r="F17" s="329"/>
      <c r="G17" s="324"/>
      <c r="H17" s="324"/>
      <c r="I17" s="285" t="str">
        <f t="shared" si="0"/>
        <v xml:space="preserve">  </v>
      </c>
      <c r="J17" s="208" t="s">
        <v>151</v>
      </c>
      <c r="K17" s="298">
        <f>+IFERROR(VLOOKUP($J17,'11 FORMULAS'!$B$51:$C$53,2,0),"")</f>
        <v>0.25</v>
      </c>
      <c r="L17" s="298" t="str">
        <f>+IFERROR(VLOOKUP($J17,'11 FORMULAS'!$B$51:$D$53,3,0),"")</f>
        <v>Probabilidad</v>
      </c>
      <c r="M17" s="358" t="s">
        <v>152</v>
      </c>
      <c r="N17" s="359">
        <f>+IFERROR(VLOOKUP($M17,'11 FORMULAS'!$B$54:$C$55,2,0),"")</f>
        <v>0.25</v>
      </c>
      <c r="O17" s="360" t="s">
        <v>164</v>
      </c>
      <c r="P17" s="360" t="s">
        <v>257</v>
      </c>
      <c r="Q17" s="360" t="s">
        <v>155</v>
      </c>
      <c r="R17" s="360" t="s">
        <v>265</v>
      </c>
      <c r="S17" s="298">
        <f t="shared" si="1"/>
        <v>0.5</v>
      </c>
      <c r="T17" s="298">
        <f>IF($L17='11 FORMULAS'!$D$51,$C$8-($C$8*$S$8),$C$8)</f>
        <v>0.36</v>
      </c>
      <c r="U17" s="298">
        <f>IF(L17='11 FORMULAS'!$D$53,$D$14-($D$14*$S$14),$D$14)</f>
        <v>0.6</v>
      </c>
      <c r="V17" s="540"/>
      <c r="W17" s="541"/>
      <c r="X17" s="38"/>
      <c r="Y17" s="294"/>
      <c r="Z17" s="295"/>
      <c r="AA17" s="295"/>
    </row>
    <row r="18" spans="1:27" ht="29.45" hidden="1" customHeight="1" thickBot="1" x14ac:dyDescent="0.3">
      <c r="A18" s="528"/>
      <c r="B18" s="529"/>
      <c r="C18" s="531"/>
      <c r="D18" s="533"/>
      <c r="E18" s="357">
        <v>5</v>
      </c>
      <c r="F18" s="329"/>
      <c r="G18" s="324"/>
      <c r="H18" s="324"/>
      <c r="I18" s="285" t="str">
        <f t="shared" si="0"/>
        <v xml:space="preserve">  </v>
      </c>
      <c r="J18" s="208" t="s">
        <v>151</v>
      </c>
      <c r="K18" s="298">
        <f>+IFERROR(VLOOKUP($J18,'11 FORMULAS'!$B$51:$C$53,2,0),"")</f>
        <v>0.25</v>
      </c>
      <c r="L18" s="298" t="str">
        <f>+IFERROR(VLOOKUP($J18,'11 FORMULAS'!$B$51:$D$53,3,0),"")</f>
        <v>Probabilidad</v>
      </c>
      <c r="M18" s="358" t="s">
        <v>152</v>
      </c>
      <c r="N18" s="359">
        <f>+IFERROR(VLOOKUP($M18,'11 FORMULAS'!$B$54:$C$55,2,0),"")</f>
        <v>0.25</v>
      </c>
      <c r="O18" s="360" t="s">
        <v>164</v>
      </c>
      <c r="P18" s="360" t="s">
        <v>257</v>
      </c>
      <c r="Q18" s="360" t="s">
        <v>155</v>
      </c>
      <c r="R18" s="360" t="s">
        <v>265</v>
      </c>
      <c r="S18" s="298">
        <f t="shared" si="1"/>
        <v>0.5</v>
      </c>
      <c r="T18" s="298">
        <f>IF($L18='11 FORMULAS'!$D$51,$C$8-($C$8*$S$8),$C$8)</f>
        <v>0.36</v>
      </c>
      <c r="U18" s="298">
        <f>IF(L18='11 FORMULAS'!$D$53,$D$14-($D$14*$S$14),$D$14)</f>
        <v>0.6</v>
      </c>
      <c r="V18" s="540"/>
      <c r="W18" s="541"/>
      <c r="X18" s="38"/>
      <c r="Y18" s="294"/>
      <c r="Z18" s="295"/>
      <c r="AA18" s="295"/>
    </row>
    <row r="19" spans="1:27" ht="29.45" hidden="1" customHeight="1" thickBot="1" x14ac:dyDescent="0.3">
      <c r="A19" s="521"/>
      <c r="B19" s="525"/>
      <c r="C19" s="532"/>
      <c r="D19" s="499"/>
      <c r="E19" s="361">
        <v>6</v>
      </c>
      <c r="F19" s="330"/>
      <c r="G19" s="209"/>
      <c r="H19" s="209"/>
      <c r="I19" s="285" t="str">
        <f t="shared" si="0"/>
        <v xml:space="preserve">  </v>
      </c>
      <c r="J19" s="208" t="s">
        <v>151</v>
      </c>
      <c r="K19" s="298">
        <f>+IFERROR(VLOOKUP($J19,'11 FORMULAS'!$B$51:$C$53,2,0),"")</f>
        <v>0.25</v>
      </c>
      <c r="L19" s="298" t="str">
        <f>+IFERROR(VLOOKUP($J19,'11 FORMULAS'!$B$51:$D$53,3,0),"")</f>
        <v>Probabilidad</v>
      </c>
      <c r="M19" s="358" t="s">
        <v>152</v>
      </c>
      <c r="N19" s="359">
        <f>+IFERROR(VLOOKUP($M19,'11 FORMULAS'!$B$54:$C$55,2,0),"")</f>
        <v>0.25</v>
      </c>
      <c r="O19" s="360" t="s">
        <v>164</v>
      </c>
      <c r="P19" s="360" t="s">
        <v>257</v>
      </c>
      <c r="Q19" s="360" t="s">
        <v>155</v>
      </c>
      <c r="R19" s="360" t="s">
        <v>265</v>
      </c>
      <c r="S19" s="298">
        <f t="shared" si="1"/>
        <v>0.5</v>
      </c>
      <c r="T19" s="298">
        <f>IF($L19='11 FORMULAS'!$D$51,$C$8-($C$8*$S$8),$C$8)</f>
        <v>0.36</v>
      </c>
      <c r="U19" s="298">
        <f>IF(L19='11 FORMULAS'!$D$53,$D$14-($D$14*$S$14),$D$14)</f>
        <v>0.6</v>
      </c>
      <c r="V19" s="536"/>
      <c r="W19" s="539"/>
      <c r="X19" s="38"/>
    </row>
    <row r="20" spans="1:27" ht="168" customHeight="1" thickBot="1" x14ac:dyDescent="0.3">
      <c r="A20" s="518" t="str">
        <f>'2 CONTEXTO E IDENTIFICACIÓN'!A11</f>
        <v>R3</v>
      </c>
      <c r="B20" s="522" t="str">
        <f>+'2 CONTEXTO E IDENTIFICACIÓN'!J11</f>
        <v>Posibilidad de afectación económica y reputacional por inconsistencias en el calculo, liquidación y pago de la nómina y la seguridad social a causa de la no inclusión de novedades generadas.</v>
      </c>
      <c r="C20" s="494">
        <f>+'3 PROBABIL E IMPACTO INHERENTE'!E11</f>
        <v>0.8</v>
      </c>
      <c r="D20" s="497">
        <f>+'3 PROBABIL E IMPACTO INHERENTE'!M11</f>
        <v>0.4</v>
      </c>
      <c r="E20" s="362">
        <v>1</v>
      </c>
      <c r="F20" s="327" t="s">
        <v>389</v>
      </c>
      <c r="G20" s="208" t="s">
        <v>391</v>
      </c>
      <c r="H20" s="208" t="s">
        <v>390</v>
      </c>
      <c r="I20" s="285" t="str">
        <f t="shared" si="0"/>
        <v>Coordinador del GIT Talento Humano valida que las novedades generadas en el mes se encuentren aplicadas en los archivos de la prenómina y en caso de identificar desviaciones devuelve la prenómina solicitando la validación.
Una vez aplicada la novedad el coordinador verifica nuevamente los archivos de la prenómina hasta que evidencie la inclusión del total de las novedades.</v>
      </c>
      <c r="J20" s="208" t="s">
        <v>151</v>
      </c>
      <c r="K20" s="298">
        <f>+IFERROR(VLOOKUP($J20,'11 FORMULAS'!$B$51:$C$53,2,0),"")</f>
        <v>0.25</v>
      </c>
      <c r="L20" s="298" t="str">
        <f>+IFERROR(VLOOKUP($J20,'11 FORMULAS'!$B$51:$D$53,3,0),"")</f>
        <v>Probabilidad</v>
      </c>
      <c r="M20" s="358" t="s">
        <v>163</v>
      </c>
      <c r="N20" s="359">
        <f>+IFERROR(VLOOKUP($M20,'11 FORMULAS'!$B$54:$C$55,2,0),"")</f>
        <v>0.15</v>
      </c>
      <c r="O20" s="360" t="s">
        <v>164</v>
      </c>
      <c r="P20" s="360" t="s">
        <v>257</v>
      </c>
      <c r="Q20" s="360" t="s">
        <v>166</v>
      </c>
      <c r="R20" s="360" t="s">
        <v>156</v>
      </c>
      <c r="S20" s="298">
        <f t="shared" si="1"/>
        <v>0.4</v>
      </c>
      <c r="T20" s="298">
        <f>IF($L20='11 FORMULAS'!$D$51,$C$8-($C$8*$S$8),$C$8)</f>
        <v>0.36</v>
      </c>
      <c r="U20" s="298">
        <f>IF(L20='11 FORMULAS'!$D$53,$D$20-($D$20*$S$20),$D$20)</f>
        <v>0.4</v>
      </c>
      <c r="V20" s="534">
        <f>+IF(T25="","",T25)</f>
        <v>0.36</v>
      </c>
      <c r="W20" s="537">
        <f>+IF(U25="","",U25)</f>
        <v>0.4</v>
      </c>
      <c r="X20" s="38"/>
      <c r="Y20" s="294"/>
      <c r="Z20" s="295"/>
      <c r="AA20" s="295"/>
    </row>
    <row r="21" spans="1:27" ht="145.5" hidden="1" customHeight="1" thickBot="1" x14ac:dyDescent="0.3">
      <c r="A21" s="520"/>
      <c r="B21" s="524"/>
      <c r="C21" s="495"/>
      <c r="D21" s="498"/>
      <c r="E21" s="357">
        <v>2</v>
      </c>
      <c r="F21" s="327"/>
      <c r="G21" s="208"/>
      <c r="H21" s="208"/>
      <c r="I21" s="285" t="str">
        <f t="shared" si="0"/>
        <v xml:space="preserve">  </v>
      </c>
      <c r="J21" s="208" t="s">
        <v>151</v>
      </c>
      <c r="K21" s="298">
        <f>+IFERROR(VLOOKUP($J21,'11 FORMULAS'!$B$51:$C$53,2,0),"")</f>
        <v>0.25</v>
      </c>
      <c r="L21" s="298" t="str">
        <f>+IFERROR(VLOOKUP($J21,'11 FORMULAS'!$B$51:$D$53,3,0),"")</f>
        <v>Probabilidad</v>
      </c>
      <c r="M21" s="358" t="s">
        <v>163</v>
      </c>
      <c r="N21" s="359">
        <f>+IFERROR(VLOOKUP($M21,'11 FORMULAS'!$B$54:$C$55,2,0),"")</f>
        <v>0.15</v>
      </c>
      <c r="O21" s="360" t="s">
        <v>174</v>
      </c>
      <c r="P21" s="360" t="s">
        <v>257</v>
      </c>
      <c r="Q21" s="360" t="s">
        <v>155</v>
      </c>
      <c r="R21" s="360" t="s">
        <v>156</v>
      </c>
      <c r="S21" s="298">
        <f t="shared" si="1"/>
        <v>0.4</v>
      </c>
      <c r="T21" s="298">
        <f>IF($L21='11 FORMULAS'!$D$51,$C$8-($C$8*$S$8),$C$8)</f>
        <v>0.36</v>
      </c>
      <c r="U21" s="298">
        <f>IF(L21='11 FORMULAS'!$D$53,$D$20-($D$20*$S$20),$D$20)</f>
        <v>0.4</v>
      </c>
      <c r="V21" s="535"/>
      <c r="W21" s="538"/>
      <c r="X21" s="38"/>
      <c r="Y21" s="294"/>
      <c r="Z21" s="295"/>
      <c r="AA21" s="295"/>
    </row>
    <row r="22" spans="1:27" ht="29.45" hidden="1" customHeight="1" thickBot="1" x14ac:dyDescent="0.3">
      <c r="A22" s="520"/>
      <c r="B22" s="524"/>
      <c r="C22" s="495"/>
      <c r="D22" s="498"/>
      <c r="E22" s="357">
        <v>3</v>
      </c>
      <c r="F22" s="327"/>
      <c r="G22" s="208"/>
      <c r="H22" s="208"/>
      <c r="I22" s="285" t="str">
        <f t="shared" si="0"/>
        <v xml:space="preserve">  </v>
      </c>
      <c r="J22" s="208" t="s">
        <v>151</v>
      </c>
      <c r="K22" s="298">
        <f>+IFERROR(VLOOKUP($J22,'11 FORMULAS'!$B$51:$C$53,2,0),"")</f>
        <v>0.25</v>
      </c>
      <c r="L22" s="298" t="str">
        <f>+IFERROR(VLOOKUP($J22,'11 FORMULAS'!$B$51:$D$53,3,0),"")</f>
        <v>Probabilidad</v>
      </c>
      <c r="M22" s="358" t="s">
        <v>152</v>
      </c>
      <c r="N22" s="359">
        <f>+IFERROR(VLOOKUP($M22,'11 FORMULAS'!$B$54:$C$55,2,0),"")</f>
        <v>0.25</v>
      </c>
      <c r="O22" s="360" t="s">
        <v>164</v>
      </c>
      <c r="P22" s="360" t="s">
        <v>257</v>
      </c>
      <c r="Q22" s="360" t="s">
        <v>155</v>
      </c>
      <c r="R22" s="360" t="s">
        <v>265</v>
      </c>
      <c r="S22" s="298">
        <f t="shared" si="1"/>
        <v>0.5</v>
      </c>
      <c r="T22" s="298">
        <f>IF($L22='11 FORMULAS'!$D$51,$C$8-($C$8*$S$8),$C$8)</f>
        <v>0.36</v>
      </c>
      <c r="U22" s="298">
        <f>IF(L22='11 FORMULAS'!$D$53,$D$20-($D$20*$S$20),$D$20)</f>
        <v>0.4</v>
      </c>
      <c r="V22" s="535"/>
      <c r="W22" s="538"/>
      <c r="X22" s="38"/>
      <c r="Y22" s="294"/>
      <c r="Z22" s="295"/>
      <c r="AA22" s="295"/>
    </row>
    <row r="23" spans="1:27" ht="29.45" hidden="1" customHeight="1" thickBot="1" x14ac:dyDescent="0.3">
      <c r="A23" s="520"/>
      <c r="B23" s="524"/>
      <c r="C23" s="495"/>
      <c r="D23" s="498"/>
      <c r="E23" s="357">
        <v>4</v>
      </c>
      <c r="F23" s="327"/>
      <c r="G23" s="208"/>
      <c r="H23" s="208"/>
      <c r="I23" s="285" t="str">
        <f t="shared" si="0"/>
        <v xml:space="preserve">  </v>
      </c>
      <c r="J23" s="208" t="s">
        <v>151</v>
      </c>
      <c r="K23" s="298">
        <f>+IFERROR(VLOOKUP($J23,'11 FORMULAS'!$B$51:$C$53,2,0),"")</f>
        <v>0.25</v>
      </c>
      <c r="L23" s="298" t="str">
        <f>+IFERROR(VLOOKUP($J23,'11 FORMULAS'!$B$51:$D$53,3,0),"")</f>
        <v>Probabilidad</v>
      </c>
      <c r="M23" s="358" t="s">
        <v>152</v>
      </c>
      <c r="N23" s="359">
        <f>+IFERROR(VLOOKUP($M23,'11 FORMULAS'!$B$54:$C$55,2,0),"")</f>
        <v>0.25</v>
      </c>
      <c r="O23" s="360" t="s">
        <v>164</v>
      </c>
      <c r="P23" s="360" t="s">
        <v>257</v>
      </c>
      <c r="Q23" s="360" t="s">
        <v>155</v>
      </c>
      <c r="R23" s="360" t="s">
        <v>265</v>
      </c>
      <c r="S23" s="298">
        <f t="shared" si="1"/>
        <v>0.5</v>
      </c>
      <c r="T23" s="298">
        <f>IF($L23='11 FORMULAS'!$D$51,$C$8-($C$8*$S$8),$C$8)</f>
        <v>0.36</v>
      </c>
      <c r="U23" s="298">
        <f>IF(L23='11 FORMULAS'!$D$53,$D$20-($D$20*$S$20),$D$20)</f>
        <v>0.4</v>
      </c>
      <c r="V23" s="535"/>
      <c r="W23" s="538"/>
      <c r="X23" s="38"/>
      <c r="Y23" s="294"/>
      <c r="Z23" s="295"/>
      <c r="AA23" s="295"/>
    </row>
    <row r="24" spans="1:27" ht="29.45" hidden="1" customHeight="1" thickBot="1" x14ac:dyDescent="0.3">
      <c r="A24" s="520"/>
      <c r="B24" s="524"/>
      <c r="C24" s="495"/>
      <c r="D24" s="498"/>
      <c r="E24" s="357">
        <v>5</v>
      </c>
      <c r="F24" s="327"/>
      <c r="G24" s="208"/>
      <c r="H24" s="208"/>
      <c r="I24" s="285" t="str">
        <f t="shared" si="0"/>
        <v xml:space="preserve">  </v>
      </c>
      <c r="J24" s="208" t="s">
        <v>151</v>
      </c>
      <c r="K24" s="298">
        <f>+IFERROR(VLOOKUP($J24,'11 FORMULAS'!$B$51:$C$53,2,0),"")</f>
        <v>0.25</v>
      </c>
      <c r="L24" s="298" t="str">
        <f>+IFERROR(VLOOKUP($J24,'11 FORMULAS'!$B$51:$D$53,3,0),"")</f>
        <v>Probabilidad</v>
      </c>
      <c r="M24" s="358" t="s">
        <v>152</v>
      </c>
      <c r="N24" s="359">
        <f>+IFERROR(VLOOKUP($M24,'11 FORMULAS'!$B$54:$C$55,2,0),"")</f>
        <v>0.25</v>
      </c>
      <c r="O24" s="360" t="s">
        <v>164</v>
      </c>
      <c r="P24" s="360" t="s">
        <v>257</v>
      </c>
      <c r="Q24" s="360" t="s">
        <v>155</v>
      </c>
      <c r="R24" s="360" t="s">
        <v>265</v>
      </c>
      <c r="S24" s="298">
        <f t="shared" si="1"/>
        <v>0.5</v>
      </c>
      <c r="T24" s="298">
        <f>IF($L24='11 FORMULAS'!$D$51,$C$8-($C$8*$S$8),$C$8)</f>
        <v>0.36</v>
      </c>
      <c r="U24" s="298">
        <f>IF(L24='11 FORMULAS'!$D$53,$D$20-($D$20*$S$20),$D$20)</f>
        <v>0.4</v>
      </c>
      <c r="V24" s="535"/>
      <c r="W24" s="538"/>
      <c r="X24" s="38"/>
      <c r="Y24" s="294"/>
      <c r="Z24" s="295"/>
      <c r="AA24" s="295"/>
    </row>
    <row r="25" spans="1:27" ht="29.45" hidden="1" customHeight="1" thickBot="1" x14ac:dyDescent="0.3">
      <c r="A25" s="521"/>
      <c r="B25" s="525"/>
      <c r="C25" s="496"/>
      <c r="D25" s="499"/>
      <c r="E25" s="361">
        <v>6</v>
      </c>
      <c r="F25" s="330"/>
      <c r="G25" s="209"/>
      <c r="H25" s="209"/>
      <c r="I25" s="285" t="str">
        <f t="shared" si="0"/>
        <v xml:space="preserve">  </v>
      </c>
      <c r="J25" s="208" t="s">
        <v>151</v>
      </c>
      <c r="K25" s="298">
        <f>+IFERROR(VLOOKUP($J25,'11 FORMULAS'!$B$51:$C$53,2,0),"")</f>
        <v>0.25</v>
      </c>
      <c r="L25" s="298" t="str">
        <f>+IFERROR(VLOOKUP($J25,'11 FORMULAS'!$B$51:$D$53,3,0),"")</f>
        <v>Probabilidad</v>
      </c>
      <c r="M25" s="358" t="s">
        <v>152</v>
      </c>
      <c r="N25" s="359">
        <f>+IFERROR(VLOOKUP($M25,'11 FORMULAS'!$B$54:$C$55,2,0),"")</f>
        <v>0.25</v>
      </c>
      <c r="O25" s="360" t="s">
        <v>164</v>
      </c>
      <c r="P25" s="360" t="s">
        <v>257</v>
      </c>
      <c r="Q25" s="360" t="s">
        <v>155</v>
      </c>
      <c r="R25" s="360" t="s">
        <v>265</v>
      </c>
      <c r="S25" s="298">
        <f t="shared" si="1"/>
        <v>0.5</v>
      </c>
      <c r="T25" s="298">
        <f>IF($L25='11 FORMULAS'!$D$51,$C$8-($C$8*$S$8),$C$8)</f>
        <v>0.36</v>
      </c>
      <c r="U25" s="298">
        <f>IF(L25='11 FORMULAS'!$D$53,$D$20-($D$20*$S$20),$D$20)</f>
        <v>0.4</v>
      </c>
      <c r="V25" s="536"/>
      <c r="W25" s="539"/>
      <c r="X25" s="38"/>
    </row>
    <row r="26" spans="1:27" ht="169.5" customHeight="1" thickBot="1" x14ac:dyDescent="0.3">
      <c r="A26" s="518" t="str">
        <f>'2 CONTEXTO E IDENTIFICACIÓN'!A12</f>
        <v>R4</v>
      </c>
      <c r="B26" s="522" t="str">
        <f>+'2 CONTEXTO E IDENTIFICACIÓN'!J12</f>
        <v>Posibilidad de pérdida reputacional por vincular en la planta de personal o inscribir como liquidadores, agentes especiales, contralores o revisores fiscales, a aspirantes sin el cumplimiento de los requisitos a causa de la falta de verficación de los soportes presentados por los aspirantes.</v>
      </c>
      <c r="C26" s="494">
        <f>+'3 PROBABIL E IMPACTO INHERENTE'!E12</f>
        <v>0.4</v>
      </c>
      <c r="D26" s="497">
        <f>+'3 PROBABIL E IMPACTO INHERENTE'!M12</f>
        <v>0.6</v>
      </c>
      <c r="E26" s="362">
        <v>1</v>
      </c>
      <c r="F26" s="328" t="s">
        <v>404</v>
      </c>
      <c r="G26" s="52" t="s">
        <v>405</v>
      </c>
      <c r="H26" s="52" t="s">
        <v>396</v>
      </c>
      <c r="I26" s="285" t="str">
        <f t="shared" si="0"/>
        <v>Profesional Especializado GITH valida que la información registrada en el formato de verificación de requisitos cumpla con lo establecido en el Decreto 1083 de 2015, el manual de funciones y compentencias laborales de la Entidad o la Circular Básica Jurídica de la Superintendencia de la Economía Solidaria (según sea el caso)  teniendo como insumo la documentación remitida por el aspirante.
En caso de que el aspirante no cumpla con el perfil se informa a al Coordinador del GITH.</v>
      </c>
      <c r="J26" s="208" t="s">
        <v>151</v>
      </c>
      <c r="K26" s="298">
        <f>+IFERROR(VLOOKUP($J26,'11 FORMULAS'!$B$51:$C$53,2,0),"")</f>
        <v>0.25</v>
      </c>
      <c r="L26" s="298" t="str">
        <f>+IFERROR(VLOOKUP($J26,'11 FORMULAS'!$B$51:$D$53,3,0),"")</f>
        <v>Probabilidad</v>
      </c>
      <c r="M26" s="358" t="s">
        <v>163</v>
      </c>
      <c r="N26" s="359">
        <f>+IFERROR(VLOOKUP($M26,'11 FORMULAS'!$B$54:$C$55,2,0),"")</f>
        <v>0.15</v>
      </c>
      <c r="O26" s="360" t="s">
        <v>174</v>
      </c>
      <c r="P26" s="360" t="s">
        <v>257</v>
      </c>
      <c r="Q26" s="360" t="s">
        <v>155</v>
      </c>
      <c r="R26" s="360" t="s">
        <v>156</v>
      </c>
      <c r="S26" s="298">
        <f t="shared" si="1"/>
        <v>0.4</v>
      </c>
      <c r="T26" s="298">
        <f>IF($L26='11 FORMULAS'!$D$51,$C$8-($C$8*$S$8),$C$8)</f>
        <v>0.36</v>
      </c>
      <c r="U26" s="298">
        <f>IF(L26='11 FORMULAS'!$D$53,$D$26-($D$26*$S$26),$D$26)</f>
        <v>0.6</v>
      </c>
      <c r="V26" s="534">
        <f>+IF(T31="","",T31)</f>
        <v>0.36</v>
      </c>
      <c r="W26" s="537">
        <f>+IF(U31="","",U31)</f>
        <v>0.6</v>
      </c>
      <c r="X26" s="38"/>
      <c r="Y26" s="294"/>
      <c r="Z26" s="295"/>
      <c r="AA26" s="295"/>
    </row>
    <row r="27" spans="1:27" ht="29.45" hidden="1" customHeight="1" thickBot="1" x14ac:dyDescent="0.3">
      <c r="A27" s="520"/>
      <c r="B27" s="524"/>
      <c r="C27" s="495"/>
      <c r="D27" s="498"/>
      <c r="E27" s="357">
        <v>2</v>
      </c>
      <c r="F27" s="327"/>
      <c r="G27" s="208"/>
      <c r="H27" s="208"/>
      <c r="I27" s="285" t="str">
        <f t="shared" si="0"/>
        <v xml:space="preserve">  </v>
      </c>
      <c r="J27" s="208" t="s">
        <v>151</v>
      </c>
      <c r="K27" s="298">
        <f>+IFERROR(VLOOKUP($J27,'11 FORMULAS'!$B$51:$C$53,2,0),"")</f>
        <v>0.25</v>
      </c>
      <c r="L27" s="298" t="str">
        <f>+IFERROR(VLOOKUP($J27,'11 FORMULAS'!$B$51:$D$53,3,0),"")</f>
        <v>Probabilidad</v>
      </c>
      <c r="M27" s="358" t="s">
        <v>152</v>
      </c>
      <c r="N27" s="359">
        <f>+IFERROR(VLOOKUP($M27,'11 FORMULAS'!$B$54:$C$55,2,0),"")</f>
        <v>0.25</v>
      </c>
      <c r="O27" s="360" t="s">
        <v>164</v>
      </c>
      <c r="P27" s="360" t="s">
        <v>257</v>
      </c>
      <c r="Q27" s="360" t="s">
        <v>155</v>
      </c>
      <c r="R27" s="360" t="s">
        <v>265</v>
      </c>
      <c r="S27" s="298">
        <f t="shared" si="1"/>
        <v>0.5</v>
      </c>
      <c r="T27" s="298">
        <f>IF($L27='11 FORMULAS'!$D$51,$C$8-($C$8*$S$8),$C$8)</f>
        <v>0.36</v>
      </c>
      <c r="U27" s="298">
        <f>IF(L27='11 FORMULAS'!$D$53,$D$26-($D$26*$S$26),$D$26)</f>
        <v>0.6</v>
      </c>
      <c r="V27" s="535"/>
      <c r="W27" s="538"/>
      <c r="X27" s="38"/>
      <c r="Y27" s="294"/>
      <c r="Z27" s="295"/>
      <c r="AA27" s="295"/>
    </row>
    <row r="28" spans="1:27" ht="29.45" hidden="1" customHeight="1" thickBot="1" x14ac:dyDescent="0.3">
      <c r="A28" s="520"/>
      <c r="B28" s="524"/>
      <c r="C28" s="495"/>
      <c r="D28" s="498"/>
      <c r="E28" s="357">
        <v>3</v>
      </c>
      <c r="F28" s="327"/>
      <c r="G28" s="208"/>
      <c r="H28" s="208"/>
      <c r="I28" s="285" t="str">
        <f t="shared" si="0"/>
        <v xml:space="preserve">  </v>
      </c>
      <c r="J28" s="208" t="s">
        <v>151</v>
      </c>
      <c r="K28" s="298">
        <f>+IFERROR(VLOOKUP($J28,'11 FORMULAS'!$B$51:$C$53,2,0),"")</f>
        <v>0.25</v>
      </c>
      <c r="L28" s="298" t="str">
        <f>+IFERROR(VLOOKUP($J28,'11 FORMULAS'!$B$51:$D$53,3,0),"")</f>
        <v>Probabilidad</v>
      </c>
      <c r="M28" s="358" t="s">
        <v>152</v>
      </c>
      <c r="N28" s="359">
        <f>+IFERROR(VLOOKUP($M28,'11 FORMULAS'!$B$54:$C$55,2,0),"")</f>
        <v>0.25</v>
      </c>
      <c r="O28" s="360" t="s">
        <v>164</v>
      </c>
      <c r="P28" s="360" t="s">
        <v>257</v>
      </c>
      <c r="Q28" s="360" t="s">
        <v>155</v>
      </c>
      <c r="R28" s="360" t="s">
        <v>265</v>
      </c>
      <c r="S28" s="298">
        <f t="shared" si="1"/>
        <v>0.5</v>
      </c>
      <c r="T28" s="298">
        <f>IF($L28='11 FORMULAS'!$D$51,$C$8-($C$8*$S$8),$C$8)</f>
        <v>0.36</v>
      </c>
      <c r="U28" s="298">
        <f>IF(L28='11 FORMULAS'!$D$53,$D$26-($D$26*$S$26),$D$26)</f>
        <v>0.6</v>
      </c>
      <c r="V28" s="535"/>
      <c r="W28" s="538"/>
      <c r="X28" s="38"/>
      <c r="Y28" s="294"/>
      <c r="Z28" s="295"/>
      <c r="AA28" s="295"/>
    </row>
    <row r="29" spans="1:27" ht="29.45" hidden="1" customHeight="1" thickBot="1" x14ac:dyDescent="0.3">
      <c r="A29" s="520"/>
      <c r="B29" s="524"/>
      <c r="C29" s="495"/>
      <c r="D29" s="498"/>
      <c r="E29" s="357">
        <v>4</v>
      </c>
      <c r="F29" s="327"/>
      <c r="G29" s="208"/>
      <c r="H29" s="208"/>
      <c r="I29" s="285" t="str">
        <f t="shared" si="0"/>
        <v xml:space="preserve">  </v>
      </c>
      <c r="J29" s="208" t="s">
        <v>151</v>
      </c>
      <c r="K29" s="298">
        <f>+IFERROR(VLOOKUP($J29,'11 FORMULAS'!$B$51:$C$53,2,0),"")</f>
        <v>0.25</v>
      </c>
      <c r="L29" s="298" t="str">
        <f>+IFERROR(VLOOKUP($J29,'11 FORMULAS'!$B$51:$D$53,3,0),"")</f>
        <v>Probabilidad</v>
      </c>
      <c r="M29" s="358" t="s">
        <v>152</v>
      </c>
      <c r="N29" s="359">
        <f>+IFERROR(VLOOKUP($M29,'11 FORMULAS'!$B$54:$C$55,2,0),"")</f>
        <v>0.25</v>
      </c>
      <c r="O29" s="360" t="s">
        <v>164</v>
      </c>
      <c r="P29" s="360" t="s">
        <v>257</v>
      </c>
      <c r="Q29" s="360" t="s">
        <v>155</v>
      </c>
      <c r="R29" s="360" t="s">
        <v>265</v>
      </c>
      <c r="S29" s="298">
        <f t="shared" si="1"/>
        <v>0.5</v>
      </c>
      <c r="T29" s="298">
        <f>IF($L29='11 FORMULAS'!$D$51,$C$8-($C$8*$S$8),$C$8)</f>
        <v>0.36</v>
      </c>
      <c r="U29" s="298">
        <f>IF(L29='11 FORMULAS'!$D$53,$D$26-($D$26*$S$26),$D$26)</f>
        <v>0.6</v>
      </c>
      <c r="V29" s="535"/>
      <c r="W29" s="538"/>
      <c r="X29" s="38"/>
      <c r="Y29" s="294"/>
      <c r="Z29" s="295"/>
      <c r="AA29" s="295"/>
    </row>
    <row r="30" spans="1:27" ht="29.45" hidden="1" customHeight="1" thickBot="1" x14ac:dyDescent="0.3">
      <c r="A30" s="520"/>
      <c r="B30" s="524"/>
      <c r="C30" s="495"/>
      <c r="D30" s="498"/>
      <c r="E30" s="357">
        <v>5</v>
      </c>
      <c r="F30" s="327"/>
      <c r="G30" s="208"/>
      <c r="H30" s="208"/>
      <c r="I30" s="285" t="str">
        <f t="shared" si="0"/>
        <v xml:space="preserve">  </v>
      </c>
      <c r="J30" s="208" t="s">
        <v>151</v>
      </c>
      <c r="K30" s="298">
        <f>+IFERROR(VLOOKUP($J30,'11 FORMULAS'!$B$51:$C$53,2,0),"")</f>
        <v>0.25</v>
      </c>
      <c r="L30" s="298" t="str">
        <f>+IFERROR(VLOOKUP($J30,'11 FORMULAS'!$B$51:$D$53,3,0),"")</f>
        <v>Probabilidad</v>
      </c>
      <c r="M30" s="358" t="s">
        <v>152</v>
      </c>
      <c r="N30" s="359">
        <f>+IFERROR(VLOOKUP($M30,'11 FORMULAS'!$B$54:$C$55,2,0),"")</f>
        <v>0.25</v>
      </c>
      <c r="O30" s="360" t="s">
        <v>164</v>
      </c>
      <c r="P30" s="360" t="s">
        <v>257</v>
      </c>
      <c r="Q30" s="360" t="s">
        <v>155</v>
      </c>
      <c r="R30" s="360" t="s">
        <v>265</v>
      </c>
      <c r="S30" s="298">
        <f t="shared" si="1"/>
        <v>0.5</v>
      </c>
      <c r="T30" s="298">
        <f>IF($L30='11 FORMULAS'!$D$51,$C$8-($C$8*$S$8),$C$8)</f>
        <v>0.36</v>
      </c>
      <c r="U30" s="298">
        <f>IF(L30='11 FORMULAS'!$D$53,$D$26-($D$26*$S$26),$D$26)</f>
        <v>0.6</v>
      </c>
      <c r="V30" s="535"/>
      <c r="W30" s="538"/>
      <c r="X30" s="38"/>
      <c r="Y30" s="294"/>
      <c r="Z30" s="295"/>
      <c r="AA30" s="295"/>
    </row>
    <row r="31" spans="1:27" ht="29.45" hidden="1" customHeight="1" thickBot="1" x14ac:dyDescent="0.3">
      <c r="A31" s="521"/>
      <c r="B31" s="525"/>
      <c r="C31" s="496"/>
      <c r="D31" s="499"/>
      <c r="E31" s="361">
        <v>6</v>
      </c>
      <c r="F31" s="330"/>
      <c r="G31" s="209"/>
      <c r="H31" s="209"/>
      <c r="I31" s="285" t="str">
        <f t="shared" si="0"/>
        <v xml:space="preserve">  </v>
      </c>
      <c r="J31" s="208" t="s">
        <v>151</v>
      </c>
      <c r="K31" s="298">
        <f>+IFERROR(VLOOKUP($J31,'11 FORMULAS'!$B$51:$C$53,2,0),"")</f>
        <v>0.25</v>
      </c>
      <c r="L31" s="298" t="str">
        <f>+IFERROR(VLOOKUP($J31,'11 FORMULAS'!$B$51:$D$53,3,0),"")</f>
        <v>Probabilidad</v>
      </c>
      <c r="M31" s="358" t="s">
        <v>152</v>
      </c>
      <c r="N31" s="359">
        <f>+IFERROR(VLOOKUP($M31,'11 FORMULAS'!$B$54:$C$55,2,0),"")</f>
        <v>0.25</v>
      </c>
      <c r="O31" s="360" t="s">
        <v>164</v>
      </c>
      <c r="P31" s="360" t="s">
        <v>257</v>
      </c>
      <c r="Q31" s="360" t="s">
        <v>155</v>
      </c>
      <c r="R31" s="360" t="s">
        <v>265</v>
      </c>
      <c r="S31" s="298">
        <f t="shared" si="1"/>
        <v>0.5</v>
      </c>
      <c r="T31" s="298">
        <f>IF($L31='11 FORMULAS'!$D$51,$C$8-($C$8*$S$8),$C$8)</f>
        <v>0.36</v>
      </c>
      <c r="U31" s="298">
        <f>IF(L31='11 FORMULAS'!$D$53,$D$26-($D$26*$S$26),$D$26)</f>
        <v>0.6</v>
      </c>
      <c r="V31" s="536"/>
      <c r="W31" s="539"/>
      <c r="X31" s="38"/>
    </row>
    <row r="32" spans="1:27" ht="100.5" customHeight="1" x14ac:dyDescent="0.25">
      <c r="A32" s="518" t="str">
        <f>'2 CONTEXTO E IDENTIFICACIÓN'!A13</f>
        <v>R5</v>
      </c>
      <c r="B32" s="522" t="str">
        <f>+'2 CONTEXTO E IDENTIFICACIÓN'!J13</f>
        <v>Posibilidad  de efecto dañoso sobre el recurso público por no gestionar el cobro de las incapacidades de manera oportuna a causa de deficiencias en el seguimiento al tramite ante las EPS</v>
      </c>
      <c r="C32" s="494">
        <f>+'3 PROBABIL E IMPACTO INHERENTE'!E13</f>
        <v>0.4</v>
      </c>
      <c r="D32" s="497">
        <f>+'3 PROBABIL E IMPACTO INHERENTE'!M13</f>
        <v>0.4</v>
      </c>
      <c r="E32" s="362">
        <v>1</v>
      </c>
      <c r="F32" s="367" t="s">
        <v>395</v>
      </c>
      <c r="G32" s="366" t="s">
        <v>406</v>
      </c>
      <c r="H32" s="366" t="s">
        <v>398</v>
      </c>
      <c r="I32" s="285" t="str">
        <f t="shared" si="0"/>
        <v>Profesional GITH realiza el seguimiento permanente del cobro, conciliación y pago de las incapacidades de los funcionarios de manera mensual, como evidencia quedará la matriz de seguimiento de incapacidades.</v>
      </c>
      <c r="J32" s="208" t="s">
        <v>151</v>
      </c>
      <c r="K32" s="298">
        <f>+IFERROR(VLOOKUP($J32,'11 FORMULAS'!$B$51:$C$53,2,0),"")</f>
        <v>0.25</v>
      </c>
      <c r="L32" s="298" t="str">
        <f>+IFERROR(VLOOKUP($J32,'11 FORMULAS'!$B$51:$D$53,3,0),"")</f>
        <v>Probabilidad</v>
      </c>
      <c r="M32" s="358" t="s">
        <v>163</v>
      </c>
      <c r="N32" s="359">
        <f>+IFERROR(VLOOKUP($M32,'11 FORMULAS'!$B$54:$C$55,2,0),"")</f>
        <v>0.15</v>
      </c>
      <c r="O32" s="360" t="s">
        <v>174</v>
      </c>
      <c r="P32" s="360" t="s">
        <v>257</v>
      </c>
      <c r="Q32" s="360" t="s">
        <v>155</v>
      </c>
      <c r="R32" s="360" t="s">
        <v>156</v>
      </c>
      <c r="S32" s="298">
        <f t="shared" si="1"/>
        <v>0.4</v>
      </c>
      <c r="T32" s="298">
        <f>IF($L32='11 FORMULAS'!$D$51,$C$8-($C$8*$S$8),$C$8)</f>
        <v>0.36</v>
      </c>
      <c r="U32" s="298">
        <f>IF($L32='11 FORMULAS'!$D$53,$D$32-($D$32*$S$32),$D$32)</f>
        <v>0.4</v>
      </c>
      <c r="V32" s="534">
        <f>+IF(T37="","",T37)</f>
        <v>0.36</v>
      </c>
      <c r="W32" s="537">
        <f>+IF(U37="","",U37)</f>
        <v>0.4</v>
      </c>
      <c r="X32" s="38"/>
      <c r="Y32" s="294"/>
      <c r="Z32" s="295"/>
      <c r="AA32" s="295"/>
    </row>
    <row r="33" spans="1:27" ht="29.45" hidden="1" customHeight="1" thickBot="1" x14ac:dyDescent="0.3">
      <c r="A33" s="519"/>
      <c r="B33" s="523"/>
      <c r="C33" s="526"/>
      <c r="D33" s="527"/>
      <c r="E33" s="357">
        <v>2</v>
      </c>
      <c r="F33" s="326"/>
      <c r="G33" s="323"/>
      <c r="H33" s="323"/>
      <c r="I33" s="285" t="str">
        <f t="shared" si="0"/>
        <v xml:space="preserve">  </v>
      </c>
      <c r="J33" s="208" t="s">
        <v>151</v>
      </c>
      <c r="K33" s="298">
        <f>+IFERROR(VLOOKUP($J33,'11 FORMULAS'!$B$51:$C$53,2,0),"")</f>
        <v>0.25</v>
      </c>
      <c r="L33" s="298" t="str">
        <f>+IFERROR(VLOOKUP($J33,'11 FORMULAS'!$B$51:$D$53,3,0),"")</f>
        <v>Probabilidad</v>
      </c>
      <c r="M33" s="358" t="s">
        <v>152</v>
      </c>
      <c r="N33" s="359">
        <f>+IFERROR(VLOOKUP($M33,'11 FORMULAS'!$B$54:$C$55,2,0),"")</f>
        <v>0.25</v>
      </c>
      <c r="O33" s="360" t="s">
        <v>164</v>
      </c>
      <c r="P33" s="360" t="s">
        <v>257</v>
      </c>
      <c r="Q33" s="360" t="s">
        <v>155</v>
      </c>
      <c r="R33" s="360" t="s">
        <v>265</v>
      </c>
      <c r="S33" s="298">
        <f t="shared" si="1"/>
        <v>0.5</v>
      </c>
      <c r="T33" s="298">
        <f>IF($L33='11 FORMULAS'!$D$51,$C$8-($C$8*$S$8),$C$8)</f>
        <v>0.36</v>
      </c>
      <c r="U33" s="298">
        <f>IF($L33='11 FORMULAS'!$D$53,$D$32-($D$32*$S$32),$D$32)</f>
        <v>0.4</v>
      </c>
      <c r="V33" s="542"/>
      <c r="W33" s="543"/>
      <c r="X33" s="38"/>
      <c r="Y33" s="294"/>
      <c r="Z33" s="295"/>
      <c r="AA33" s="295"/>
    </row>
    <row r="34" spans="1:27" ht="29.45" hidden="1" customHeight="1" thickBot="1" x14ac:dyDescent="0.3">
      <c r="A34" s="519"/>
      <c r="B34" s="523"/>
      <c r="C34" s="526"/>
      <c r="D34" s="527"/>
      <c r="E34" s="357">
        <v>3</v>
      </c>
      <c r="F34" s="326"/>
      <c r="G34" s="323"/>
      <c r="H34" s="323"/>
      <c r="I34" s="285" t="str">
        <f t="shared" si="0"/>
        <v xml:space="preserve">  </v>
      </c>
      <c r="J34" s="208" t="s">
        <v>151</v>
      </c>
      <c r="K34" s="298">
        <f>+IFERROR(VLOOKUP($J34,'11 FORMULAS'!$B$51:$C$53,2,0),"")</f>
        <v>0.25</v>
      </c>
      <c r="L34" s="298" t="str">
        <f>+IFERROR(VLOOKUP($J34,'11 FORMULAS'!$B$51:$D$53,3,0),"")</f>
        <v>Probabilidad</v>
      </c>
      <c r="M34" s="358" t="s">
        <v>152</v>
      </c>
      <c r="N34" s="359">
        <f>+IFERROR(VLOOKUP($M34,'11 FORMULAS'!$B$54:$C$55,2,0),"")</f>
        <v>0.25</v>
      </c>
      <c r="O34" s="360" t="s">
        <v>164</v>
      </c>
      <c r="P34" s="360" t="s">
        <v>257</v>
      </c>
      <c r="Q34" s="360" t="s">
        <v>155</v>
      </c>
      <c r="R34" s="360" t="s">
        <v>265</v>
      </c>
      <c r="S34" s="298">
        <f t="shared" si="1"/>
        <v>0.5</v>
      </c>
      <c r="T34" s="298">
        <f>IF($L34='11 FORMULAS'!$D$51,$C$8-($C$8*$S$8),$C$8)</f>
        <v>0.36</v>
      </c>
      <c r="U34" s="298">
        <f>IF($L34='11 FORMULAS'!$D$53,$D$32-($D$32*$S$32),$D$32)</f>
        <v>0.4</v>
      </c>
      <c r="V34" s="542"/>
      <c r="W34" s="543"/>
      <c r="X34" s="38"/>
      <c r="Y34" s="294"/>
      <c r="Z34" s="295"/>
      <c r="AA34" s="295"/>
    </row>
    <row r="35" spans="1:27" ht="29.45" hidden="1" customHeight="1" thickBot="1" x14ac:dyDescent="0.3">
      <c r="A35" s="520"/>
      <c r="B35" s="524"/>
      <c r="C35" s="495"/>
      <c r="D35" s="498"/>
      <c r="E35" s="357">
        <v>4</v>
      </c>
      <c r="F35" s="327"/>
      <c r="G35" s="208"/>
      <c r="H35" s="208"/>
      <c r="I35" s="285" t="str">
        <f t="shared" si="0"/>
        <v xml:space="preserve">  </v>
      </c>
      <c r="J35" s="208" t="s">
        <v>151</v>
      </c>
      <c r="K35" s="298">
        <f>+IFERROR(VLOOKUP($J35,'11 FORMULAS'!$B$51:$C$53,2,0),"")</f>
        <v>0.25</v>
      </c>
      <c r="L35" s="298" t="str">
        <f>+IFERROR(VLOOKUP($J35,'11 FORMULAS'!$B$51:$D$53,3,0),"")</f>
        <v>Probabilidad</v>
      </c>
      <c r="M35" s="358" t="s">
        <v>152</v>
      </c>
      <c r="N35" s="359">
        <f>+IFERROR(VLOOKUP($M35,'11 FORMULAS'!$B$54:$C$55,2,0),"")</f>
        <v>0.25</v>
      </c>
      <c r="O35" s="360" t="s">
        <v>164</v>
      </c>
      <c r="P35" s="360" t="s">
        <v>257</v>
      </c>
      <c r="Q35" s="360" t="s">
        <v>155</v>
      </c>
      <c r="R35" s="360" t="s">
        <v>265</v>
      </c>
      <c r="S35" s="298">
        <f t="shared" si="1"/>
        <v>0.5</v>
      </c>
      <c r="T35" s="298">
        <f>IF($L35='11 FORMULAS'!$D$51,$C$8-($C$8*$S$8),$C$8)</f>
        <v>0.36</v>
      </c>
      <c r="U35" s="298">
        <f>IF($L35='11 FORMULAS'!$D$53,$D$32-($D$32*$S$32),$D$32)</f>
        <v>0.4</v>
      </c>
      <c r="V35" s="535"/>
      <c r="W35" s="538"/>
      <c r="X35" s="38"/>
      <c r="Y35" s="294"/>
      <c r="Z35" s="295"/>
      <c r="AA35" s="295"/>
    </row>
    <row r="36" spans="1:27" ht="29.45" hidden="1" customHeight="1" thickBot="1" x14ac:dyDescent="0.3">
      <c r="A36" s="520"/>
      <c r="B36" s="524"/>
      <c r="C36" s="495"/>
      <c r="D36" s="498"/>
      <c r="E36" s="357">
        <v>5</v>
      </c>
      <c r="F36" s="327"/>
      <c r="G36" s="208"/>
      <c r="H36" s="208"/>
      <c r="I36" s="285" t="str">
        <f t="shared" si="0"/>
        <v xml:space="preserve">  </v>
      </c>
      <c r="J36" s="208" t="s">
        <v>151</v>
      </c>
      <c r="K36" s="298">
        <f>+IFERROR(VLOOKUP($J36,'11 FORMULAS'!$B$51:$C$53,2,0),"")</f>
        <v>0.25</v>
      </c>
      <c r="L36" s="298" t="str">
        <f>+IFERROR(VLOOKUP($J36,'11 FORMULAS'!$B$51:$D$53,3,0),"")</f>
        <v>Probabilidad</v>
      </c>
      <c r="M36" s="358" t="s">
        <v>152</v>
      </c>
      <c r="N36" s="359">
        <f>+IFERROR(VLOOKUP($M36,'11 FORMULAS'!$B$54:$C$55,2,0),"")</f>
        <v>0.25</v>
      </c>
      <c r="O36" s="360" t="s">
        <v>164</v>
      </c>
      <c r="P36" s="360" t="s">
        <v>257</v>
      </c>
      <c r="Q36" s="360" t="s">
        <v>155</v>
      </c>
      <c r="R36" s="360" t="s">
        <v>265</v>
      </c>
      <c r="S36" s="298">
        <f t="shared" si="1"/>
        <v>0.5</v>
      </c>
      <c r="T36" s="298">
        <f>IF($L36='11 FORMULAS'!$D$51,$C$8-($C$8*$S$8),$C$8)</f>
        <v>0.36</v>
      </c>
      <c r="U36" s="298">
        <f>IF($L36='11 FORMULAS'!$D$53,$D$32-($D$32*$S$32),$D$32)</f>
        <v>0.4</v>
      </c>
      <c r="V36" s="535"/>
      <c r="W36" s="538"/>
      <c r="X36" s="38"/>
      <c r="Y36" s="294"/>
      <c r="Z36" s="295"/>
      <c r="AA36" s="295"/>
    </row>
    <row r="37" spans="1:27" ht="29.45" hidden="1" customHeight="1" thickBot="1" x14ac:dyDescent="0.3">
      <c r="A37" s="521"/>
      <c r="B37" s="525"/>
      <c r="C37" s="496"/>
      <c r="D37" s="499"/>
      <c r="E37" s="357">
        <v>6</v>
      </c>
      <c r="F37" s="330"/>
      <c r="G37" s="209"/>
      <c r="H37" s="209"/>
      <c r="I37" s="285" t="str">
        <f t="shared" si="0"/>
        <v xml:space="preserve">  </v>
      </c>
      <c r="J37" s="208" t="s">
        <v>151</v>
      </c>
      <c r="K37" s="298">
        <f>+IFERROR(VLOOKUP($J37,'11 FORMULAS'!$B$51:$C$53,2,0),"")</f>
        <v>0.25</v>
      </c>
      <c r="L37" s="298" t="str">
        <f>+IFERROR(VLOOKUP($J37,'11 FORMULAS'!$B$51:$D$53,3,0),"")</f>
        <v>Probabilidad</v>
      </c>
      <c r="M37" s="358" t="s">
        <v>152</v>
      </c>
      <c r="N37" s="359">
        <f>+IFERROR(VLOOKUP($M37,'11 FORMULAS'!$B$54:$C$55,2,0),"")</f>
        <v>0.25</v>
      </c>
      <c r="O37" s="360" t="s">
        <v>164</v>
      </c>
      <c r="P37" s="360" t="s">
        <v>257</v>
      </c>
      <c r="Q37" s="360" t="s">
        <v>155</v>
      </c>
      <c r="R37" s="360" t="s">
        <v>265</v>
      </c>
      <c r="S37" s="298">
        <f t="shared" si="1"/>
        <v>0.5</v>
      </c>
      <c r="T37" s="298">
        <f>IF($L37='11 FORMULAS'!$D$51,$C$8-($C$8*$S$8),$C$8)</f>
        <v>0.36</v>
      </c>
      <c r="U37" s="298">
        <f>IF($L37='11 FORMULAS'!$D$53,$D$32-($D$32*$S$32),$D$32)</f>
        <v>0.4</v>
      </c>
      <c r="V37" s="536"/>
      <c r="W37" s="539"/>
      <c r="X37" s="38"/>
    </row>
    <row r="38" spans="1:27" ht="108.75" hidden="1" customHeight="1" thickBot="1" x14ac:dyDescent="0.3">
      <c r="A38" s="518" t="str">
        <f>'2 CONTEXTO E IDENTIFICACIÓN'!A14</f>
        <v>R6</v>
      </c>
      <c r="B38" s="522" t="str">
        <f>+'2 CONTEXTO E IDENTIFICACIÓN'!J14</f>
        <v xml:space="preserve"> por a causa de </v>
      </c>
      <c r="C38" s="494" t="str">
        <f>+'3 PROBABIL E IMPACTO INHERENTE'!E14</f>
        <v/>
      </c>
      <c r="D38" s="497" t="str">
        <f>+'3 PROBABIL E IMPACTO INHERENTE'!M14</f>
        <v/>
      </c>
      <c r="E38" s="357">
        <v>1</v>
      </c>
      <c r="F38" s="367"/>
      <c r="G38" s="366"/>
      <c r="H38" s="366"/>
      <c r="I38" s="285" t="str">
        <f t="shared" si="0"/>
        <v xml:space="preserve">  </v>
      </c>
      <c r="J38" s="208"/>
      <c r="K38" s="298" t="str">
        <f>+IFERROR(VLOOKUP($J38,'11 FORMULAS'!$B$51:$C$53,2,0),"")</f>
        <v/>
      </c>
      <c r="L38" s="298" t="str">
        <f>+IFERROR(VLOOKUP($J38,'11 FORMULAS'!$B$51:$D$53,3,0),"")</f>
        <v/>
      </c>
      <c r="M38" s="358"/>
      <c r="N38" s="359" t="str">
        <f>+IFERROR(VLOOKUP($M38,'11 FORMULAS'!$B$54:$C$55,2,0),"")</f>
        <v/>
      </c>
      <c r="O38" s="360"/>
      <c r="P38" s="360"/>
      <c r="Q38" s="360"/>
      <c r="R38" s="360"/>
      <c r="S38" s="298" t="str">
        <f t="shared" si="1"/>
        <v/>
      </c>
      <c r="T38" s="298">
        <f>IF($L38='11 FORMULAS'!$D$51,$C$8-($C$8*$S$8),$C$8)</f>
        <v>0.6</v>
      </c>
      <c r="U38" s="298" t="str">
        <f>IF($L38='11 FORMULAS'!$D$53,$D$38-($D$38*$S$38),$D$38)</f>
        <v/>
      </c>
      <c r="V38" s="534">
        <f>+IF(T43="","",T43)</f>
        <v>0.36</v>
      </c>
      <c r="W38" s="537" t="str">
        <f>+IF(U43="","",U43)</f>
        <v/>
      </c>
      <c r="X38" s="38"/>
      <c r="Y38" s="294"/>
      <c r="Z38" s="295"/>
      <c r="AA38" s="295"/>
    </row>
    <row r="39" spans="1:27" ht="29.45" hidden="1" customHeight="1" thickBot="1" x14ac:dyDescent="0.3">
      <c r="A39" s="519"/>
      <c r="B39" s="523"/>
      <c r="C39" s="526"/>
      <c r="D39" s="527"/>
      <c r="E39" s="357">
        <v>2</v>
      </c>
      <c r="F39" s="326"/>
      <c r="G39" s="323"/>
      <c r="H39" s="323"/>
      <c r="I39" s="285" t="str">
        <f t="shared" si="0"/>
        <v xml:space="preserve">  </v>
      </c>
      <c r="J39" s="208" t="s">
        <v>151</v>
      </c>
      <c r="K39" s="298">
        <f>+IFERROR(VLOOKUP($J39,'11 FORMULAS'!$B$51:$C$53,2,0),"")</f>
        <v>0.25</v>
      </c>
      <c r="L39" s="298" t="str">
        <f>+IFERROR(VLOOKUP($J39,'11 FORMULAS'!$B$51:$D$53,3,0),"")</f>
        <v>Probabilidad</v>
      </c>
      <c r="M39" s="358" t="s">
        <v>152</v>
      </c>
      <c r="N39" s="359">
        <f>+IFERROR(VLOOKUP($M39,'11 FORMULAS'!$B$54:$C$55,2,0),"")</f>
        <v>0.25</v>
      </c>
      <c r="O39" s="360" t="s">
        <v>164</v>
      </c>
      <c r="P39" s="360" t="s">
        <v>257</v>
      </c>
      <c r="Q39" s="360" t="s">
        <v>155</v>
      </c>
      <c r="R39" s="360" t="s">
        <v>265</v>
      </c>
      <c r="S39" s="298">
        <f t="shared" si="1"/>
        <v>0.5</v>
      </c>
      <c r="T39" s="298">
        <f>IF($L39='11 FORMULAS'!$D$51,$C$8-($C$8*$S$8),$C$8)</f>
        <v>0.36</v>
      </c>
      <c r="U39" s="298" t="str">
        <f>IF($L39='11 FORMULAS'!$D$53,$D$38-($D$38*$S$38),$D$38)</f>
        <v/>
      </c>
      <c r="V39" s="542"/>
      <c r="W39" s="543"/>
      <c r="X39" s="38"/>
      <c r="Y39" s="294"/>
      <c r="Z39" s="295"/>
      <c r="AA39" s="295"/>
    </row>
    <row r="40" spans="1:27" ht="29.45" hidden="1" customHeight="1" thickBot="1" x14ac:dyDescent="0.3">
      <c r="A40" s="519"/>
      <c r="B40" s="523"/>
      <c r="C40" s="526"/>
      <c r="D40" s="527"/>
      <c r="E40" s="357">
        <v>3</v>
      </c>
      <c r="F40" s="326"/>
      <c r="G40" s="323"/>
      <c r="H40" s="323"/>
      <c r="I40" s="285" t="str">
        <f t="shared" si="0"/>
        <v xml:space="preserve">  </v>
      </c>
      <c r="J40" s="208" t="s">
        <v>151</v>
      </c>
      <c r="K40" s="298">
        <f>+IFERROR(VLOOKUP($J40,'11 FORMULAS'!$B$51:$C$53,2,0),"")</f>
        <v>0.25</v>
      </c>
      <c r="L40" s="298" t="str">
        <f>+IFERROR(VLOOKUP($J40,'11 FORMULAS'!$B$51:$D$53,3,0),"")</f>
        <v>Probabilidad</v>
      </c>
      <c r="M40" s="358" t="s">
        <v>152</v>
      </c>
      <c r="N40" s="359">
        <f>+IFERROR(VLOOKUP($M40,'11 FORMULAS'!$B$54:$C$55,2,0),"")</f>
        <v>0.25</v>
      </c>
      <c r="O40" s="360" t="s">
        <v>164</v>
      </c>
      <c r="P40" s="360" t="s">
        <v>257</v>
      </c>
      <c r="Q40" s="360" t="s">
        <v>155</v>
      </c>
      <c r="R40" s="360" t="s">
        <v>265</v>
      </c>
      <c r="S40" s="298">
        <f t="shared" si="1"/>
        <v>0.5</v>
      </c>
      <c r="T40" s="298">
        <f>IF($L40='11 FORMULAS'!$D$51,$C$8-($C$8*$S$8),$C$8)</f>
        <v>0.36</v>
      </c>
      <c r="U40" s="298" t="str">
        <f>IF($L40='11 FORMULAS'!$D$53,$D$38-($D$38*$S$38),$D$38)</f>
        <v/>
      </c>
      <c r="V40" s="542"/>
      <c r="W40" s="543"/>
      <c r="X40" s="38"/>
      <c r="Y40" s="294"/>
      <c r="Z40" s="295"/>
      <c r="AA40" s="295"/>
    </row>
    <row r="41" spans="1:27" ht="29.45" hidden="1" customHeight="1" thickBot="1" x14ac:dyDescent="0.3">
      <c r="A41" s="520"/>
      <c r="B41" s="524"/>
      <c r="C41" s="495"/>
      <c r="D41" s="498"/>
      <c r="E41" s="357">
        <v>4</v>
      </c>
      <c r="F41" s="327"/>
      <c r="G41" s="208"/>
      <c r="H41" s="208"/>
      <c r="I41" s="285" t="str">
        <f t="shared" si="0"/>
        <v xml:space="preserve">  </v>
      </c>
      <c r="J41" s="208" t="s">
        <v>151</v>
      </c>
      <c r="K41" s="298">
        <f>+IFERROR(VLOOKUP($J41,'11 FORMULAS'!$B$51:$C$53,2,0),"")</f>
        <v>0.25</v>
      </c>
      <c r="L41" s="298" t="str">
        <f>+IFERROR(VLOOKUP($J41,'11 FORMULAS'!$B$51:$D$53,3,0),"")</f>
        <v>Probabilidad</v>
      </c>
      <c r="M41" s="358" t="s">
        <v>152</v>
      </c>
      <c r="N41" s="359">
        <f>+IFERROR(VLOOKUP($M41,'11 FORMULAS'!$B$54:$C$55,2,0),"")</f>
        <v>0.25</v>
      </c>
      <c r="O41" s="360" t="s">
        <v>164</v>
      </c>
      <c r="P41" s="360" t="s">
        <v>257</v>
      </c>
      <c r="Q41" s="360" t="s">
        <v>155</v>
      </c>
      <c r="R41" s="360" t="s">
        <v>265</v>
      </c>
      <c r="S41" s="298">
        <f t="shared" si="1"/>
        <v>0.5</v>
      </c>
      <c r="T41" s="298">
        <f>IF($L41='11 FORMULAS'!$D$51,$C$8-($C$8*$S$8),$C$8)</f>
        <v>0.36</v>
      </c>
      <c r="U41" s="298" t="str">
        <f>IF($L41='11 FORMULAS'!$D$53,$D$38-($D$38*$S$38),$D$38)</f>
        <v/>
      </c>
      <c r="V41" s="535"/>
      <c r="W41" s="538"/>
      <c r="X41" s="38"/>
      <c r="Y41" s="294"/>
      <c r="Z41" s="295"/>
      <c r="AA41" s="295"/>
    </row>
    <row r="42" spans="1:27" ht="29.45" hidden="1" customHeight="1" thickBot="1" x14ac:dyDescent="0.3">
      <c r="A42" s="520"/>
      <c r="B42" s="524"/>
      <c r="C42" s="495"/>
      <c r="D42" s="498"/>
      <c r="E42" s="357">
        <v>5</v>
      </c>
      <c r="F42" s="327"/>
      <c r="G42" s="208"/>
      <c r="H42" s="208"/>
      <c r="I42" s="285" t="str">
        <f t="shared" si="0"/>
        <v xml:space="preserve">  </v>
      </c>
      <c r="J42" s="208" t="s">
        <v>151</v>
      </c>
      <c r="K42" s="298">
        <f>+IFERROR(VLOOKUP($J42,'11 FORMULAS'!$B$51:$C$53,2,0),"")</f>
        <v>0.25</v>
      </c>
      <c r="L42" s="298" t="str">
        <f>+IFERROR(VLOOKUP($J42,'11 FORMULAS'!$B$51:$D$53,3,0),"")</f>
        <v>Probabilidad</v>
      </c>
      <c r="M42" s="358" t="s">
        <v>152</v>
      </c>
      <c r="N42" s="359">
        <f>+IFERROR(VLOOKUP($M42,'11 FORMULAS'!$B$54:$C$55,2,0),"")</f>
        <v>0.25</v>
      </c>
      <c r="O42" s="360" t="s">
        <v>164</v>
      </c>
      <c r="P42" s="360" t="s">
        <v>257</v>
      </c>
      <c r="Q42" s="360" t="s">
        <v>155</v>
      </c>
      <c r="R42" s="360" t="s">
        <v>265</v>
      </c>
      <c r="S42" s="298">
        <f t="shared" si="1"/>
        <v>0.5</v>
      </c>
      <c r="T42" s="298">
        <f>IF($L42='11 FORMULAS'!$D$51,$C$8-($C$8*$S$8),$C$8)</f>
        <v>0.36</v>
      </c>
      <c r="U42" s="298" t="str">
        <f>IF($L42='11 FORMULAS'!$D$53,$D$38-($D$38*$S$38),$D$38)</f>
        <v/>
      </c>
      <c r="V42" s="535"/>
      <c r="W42" s="538"/>
      <c r="X42" s="38"/>
      <c r="Y42" s="294"/>
      <c r="Z42" s="295"/>
      <c r="AA42" s="295"/>
    </row>
    <row r="43" spans="1:27" ht="29.45" hidden="1" customHeight="1" thickBot="1" x14ac:dyDescent="0.3">
      <c r="A43" s="521"/>
      <c r="B43" s="525"/>
      <c r="C43" s="496"/>
      <c r="D43" s="499"/>
      <c r="E43" s="361">
        <v>6</v>
      </c>
      <c r="F43" s="330"/>
      <c r="G43" s="209"/>
      <c r="H43" s="209"/>
      <c r="I43" s="285" t="str">
        <f t="shared" si="0"/>
        <v xml:space="preserve">  </v>
      </c>
      <c r="J43" s="208" t="s">
        <v>151</v>
      </c>
      <c r="K43" s="298">
        <f>+IFERROR(VLOOKUP($J43,'11 FORMULAS'!$B$51:$C$53,2,0),"")</f>
        <v>0.25</v>
      </c>
      <c r="L43" s="298" t="str">
        <f>+IFERROR(VLOOKUP($J43,'11 FORMULAS'!$B$51:$D$53,3,0),"")</f>
        <v>Probabilidad</v>
      </c>
      <c r="M43" s="358" t="s">
        <v>152</v>
      </c>
      <c r="N43" s="359">
        <f>+IFERROR(VLOOKUP($M43,'11 FORMULAS'!$B$54:$C$55,2,0),"")</f>
        <v>0.25</v>
      </c>
      <c r="O43" s="360" t="s">
        <v>164</v>
      </c>
      <c r="P43" s="360" t="s">
        <v>257</v>
      </c>
      <c r="Q43" s="360" t="s">
        <v>155</v>
      </c>
      <c r="R43" s="360" t="s">
        <v>265</v>
      </c>
      <c r="S43" s="298">
        <f t="shared" si="1"/>
        <v>0.5</v>
      </c>
      <c r="T43" s="298">
        <f>IF($L43='11 FORMULAS'!$D$51,$C$8-($C$8*$S$8),$C$8)</f>
        <v>0.36</v>
      </c>
      <c r="U43" s="298" t="str">
        <f>IF($L43='11 FORMULAS'!$D$53,$D$38-($D$38*$S$38),$D$38)</f>
        <v/>
      </c>
      <c r="V43" s="536"/>
      <c r="W43" s="539"/>
      <c r="X43" s="38"/>
    </row>
    <row r="44" spans="1:27" ht="29.45" hidden="1" customHeight="1" thickBot="1" x14ac:dyDescent="0.3">
      <c r="A44" s="518" t="str">
        <f>'2 CONTEXTO E IDENTIFICACIÓN'!A15</f>
        <v>R7</v>
      </c>
      <c r="B44" s="522" t="str">
        <f>+'2 CONTEXTO E IDENTIFICACIÓN'!J15</f>
        <v xml:space="preserve"> por a causa de </v>
      </c>
      <c r="C44" s="494" t="str">
        <f>+'3 PROBABIL E IMPACTO INHERENTE'!E15</f>
        <v/>
      </c>
      <c r="D44" s="497" t="str">
        <f>+'3 PROBABIL E IMPACTO INHERENTE'!M15</f>
        <v/>
      </c>
      <c r="E44" s="362">
        <v>1</v>
      </c>
      <c r="F44" s="328"/>
      <c r="G44" s="52"/>
      <c r="H44" s="52"/>
      <c r="I44" s="285" t="str">
        <f t="shared" si="0"/>
        <v xml:space="preserve">  </v>
      </c>
      <c r="J44" s="208" t="s">
        <v>151</v>
      </c>
      <c r="K44" s="298">
        <f>+IFERROR(VLOOKUP($J44,'11 FORMULAS'!$B$51:$C$53,2,0),"")</f>
        <v>0.25</v>
      </c>
      <c r="L44" s="298" t="str">
        <f>+IFERROR(VLOOKUP($J44,'11 FORMULAS'!$B$51:$D$53,3,0),"")</f>
        <v>Probabilidad</v>
      </c>
      <c r="M44" s="358" t="s">
        <v>152</v>
      </c>
      <c r="N44" s="359">
        <f>+IFERROR(VLOOKUP($M44,'11 FORMULAS'!$B$54:$C$55,2,0),"")</f>
        <v>0.25</v>
      </c>
      <c r="O44" s="360" t="s">
        <v>164</v>
      </c>
      <c r="P44" s="360" t="s">
        <v>257</v>
      </c>
      <c r="Q44" s="360" t="s">
        <v>155</v>
      </c>
      <c r="R44" s="360" t="s">
        <v>265</v>
      </c>
      <c r="S44" s="298">
        <f t="shared" si="1"/>
        <v>0.5</v>
      </c>
      <c r="T44" s="298">
        <f>IF($L44='11 FORMULAS'!$D$51,$C$8-($C$8*$S$8),$C$8)</f>
        <v>0.36</v>
      </c>
      <c r="U44" s="298" t="str">
        <f>IF($L44='11 FORMULAS'!$D$53,$D$44-($D$44*$S$44),$D$44)</f>
        <v/>
      </c>
      <c r="V44" s="534">
        <f>+IF(T49="","",T49)</f>
        <v>0.36</v>
      </c>
      <c r="W44" s="537" t="str">
        <f>+IF(U49="","",U49)</f>
        <v/>
      </c>
      <c r="X44" s="38"/>
      <c r="Y44" s="294"/>
      <c r="Z44" s="295"/>
      <c r="AA44" s="295"/>
    </row>
    <row r="45" spans="1:27" ht="29.45" hidden="1" customHeight="1" thickBot="1" x14ac:dyDescent="0.3">
      <c r="A45" s="520"/>
      <c r="B45" s="524"/>
      <c r="C45" s="495"/>
      <c r="D45" s="498"/>
      <c r="E45" s="357">
        <v>2</v>
      </c>
      <c r="F45" s="327"/>
      <c r="G45" s="208"/>
      <c r="H45" s="208"/>
      <c r="I45" s="285" t="str">
        <f t="shared" si="0"/>
        <v xml:space="preserve">  </v>
      </c>
      <c r="J45" s="208" t="s">
        <v>151</v>
      </c>
      <c r="K45" s="298">
        <f>+IFERROR(VLOOKUP($J45,'11 FORMULAS'!$B$51:$C$53,2,0),"")</f>
        <v>0.25</v>
      </c>
      <c r="L45" s="298" t="str">
        <f>+IFERROR(VLOOKUP($J45,'11 FORMULAS'!$B$51:$D$53,3,0),"")</f>
        <v>Probabilidad</v>
      </c>
      <c r="M45" s="358" t="s">
        <v>152</v>
      </c>
      <c r="N45" s="359">
        <f>+IFERROR(VLOOKUP($M45,'11 FORMULAS'!$B$54:$C$55,2,0),"")</f>
        <v>0.25</v>
      </c>
      <c r="O45" s="360" t="s">
        <v>164</v>
      </c>
      <c r="P45" s="360" t="s">
        <v>257</v>
      </c>
      <c r="Q45" s="360" t="s">
        <v>155</v>
      </c>
      <c r="R45" s="360" t="s">
        <v>265</v>
      </c>
      <c r="S45" s="298">
        <f t="shared" si="1"/>
        <v>0.5</v>
      </c>
      <c r="T45" s="298">
        <f>IF($L45='11 FORMULAS'!$D$51,$C$8-($C$8*$S$8),$C$8)</f>
        <v>0.36</v>
      </c>
      <c r="U45" s="298" t="str">
        <f>IF($L45='11 FORMULAS'!$D$53,$D$44-($D$44*$S$44),$D$44)</f>
        <v/>
      </c>
      <c r="V45" s="535"/>
      <c r="W45" s="538"/>
      <c r="X45" s="38"/>
      <c r="Y45" s="294"/>
      <c r="Z45" s="295"/>
      <c r="AA45" s="295"/>
    </row>
    <row r="46" spans="1:27" ht="29.45" hidden="1" customHeight="1" thickBot="1" x14ac:dyDescent="0.3">
      <c r="A46" s="520"/>
      <c r="B46" s="524"/>
      <c r="C46" s="495"/>
      <c r="D46" s="498"/>
      <c r="E46" s="357">
        <v>3</v>
      </c>
      <c r="F46" s="327"/>
      <c r="G46" s="208"/>
      <c r="H46" s="208"/>
      <c r="I46" s="285" t="str">
        <f t="shared" si="0"/>
        <v xml:space="preserve">  </v>
      </c>
      <c r="J46" s="208" t="s">
        <v>151</v>
      </c>
      <c r="K46" s="298">
        <f>+IFERROR(VLOOKUP($J46,'11 FORMULAS'!$B$51:$C$53,2,0),"")</f>
        <v>0.25</v>
      </c>
      <c r="L46" s="298" t="str">
        <f>+IFERROR(VLOOKUP($J46,'11 FORMULAS'!$B$51:$D$53,3,0),"")</f>
        <v>Probabilidad</v>
      </c>
      <c r="M46" s="358" t="s">
        <v>152</v>
      </c>
      <c r="N46" s="359">
        <f>+IFERROR(VLOOKUP($M46,'11 FORMULAS'!$B$54:$C$55,2,0),"")</f>
        <v>0.25</v>
      </c>
      <c r="O46" s="360" t="s">
        <v>164</v>
      </c>
      <c r="P46" s="360" t="s">
        <v>257</v>
      </c>
      <c r="Q46" s="360" t="s">
        <v>155</v>
      </c>
      <c r="R46" s="360" t="s">
        <v>265</v>
      </c>
      <c r="S46" s="298">
        <f t="shared" si="1"/>
        <v>0.5</v>
      </c>
      <c r="T46" s="298">
        <f>IF($L46='11 FORMULAS'!$D$51,$C$8-($C$8*$S$8),$C$8)</f>
        <v>0.36</v>
      </c>
      <c r="U46" s="298" t="str">
        <f>IF($L46='11 FORMULAS'!$D$53,$D$44-($D$44*$S$44),$D$44)</f>
        <v/>
      </c>
      <c r="V46" s="535"/>
      <c r="W46" s="538"/>
      <c r="X46" s="38"/>
      <c r="Y46" s="294"/>
      <c r="Z46" s="295"/>
      <c r="AA46" s="295"/>
    </row>
    <row r="47" spans="1:27" ht="29.45" hidden="1" customHeight="1" thickBot="1" x14ac:dyDescent="0.3">
      <c r="A47" s="520"/>
      <c r="B47" s="524"/>
      <c r="C47" s="495"/>
      <c r="D47" s="498"/>
      <c r="E47" s="357">
        <v>4</v>
      </c>
      <c r="F47" s="327"/>
      <c r="G47" s="208"/>
      <c r="H47" s="208"/>
      <c r="I47" s="285" t="str">
        <f t="shared" si="0"/>
        <v xml:space="preserve">  </v>
      </c>
      <c r="J47" s="208" t="s">
        <v>151</v>
      </c>
      <c r="K47" s="298">
        <f>+IFERROR(VLOOKUP($J47,'11 FORMULAS'!$B$51:$C$53,2,0),"")</f>
        <v>0.25</v>
      </c>
      <c r="L47" s="298" t="str">
        <f>+IFERROR(VLOOKUP($J47,'11 FORMULAS'!$B$51:$D$53,3,0),"")</f>
        <v>Probabilidad</v>
      </c>
      <c r="M47" s="358" t="s">
        <v>152</v>
      </c>
      <c r="N47" s="359">
        <f>+IFERROR(VLOOKUP($M47,'11 FORMULAS'!$B$54:$C$55,2,0),"")</f>
        <v>0.25</v>
      </c>
      <c r="O47" s="360" t="s">
        <v>164</v>
      </c>
      <c r="P47" s="360" t="s">
        <v>257</v>
      </c>
      <c r="Q47" s="360" t="s">
        <v>155</v>
      </c>
      <c r="R47" s="360" t="s">
        <v>265</v>
      </c>
      <c r="S47" s="298">
        <f t="shared" si="1"/>
        <v>0.5</v>
      </c>
      <c r="T47" s="298">
        <f>IF($L47='11 FORMULAS'!$D$51,$C$8-($C$8*$S$8),$C$8)</f>
        <v>0.36</v>
      </c>
      <c r="U47" s="298" t="str">
        <f>IF($L47='11 FORMULAS'!$D$53,$D$44-($D$44*$S$44),$D$44)</f>
        <v/>
      </c>
      <c r="V47" s="535"/>
      <c r="W47" s="538"/>
      <c r="X47" s="38"/>
      <c r="Y47" s="294"/>
      <c r="Z47" s="295"/>
      <c r="AA47" s="295"/>
    </row>
    <row r="48" spans="1:27" ht="29.45" hidden="1" customHeight="1" thickBot="1" x14ac:dyDescent="0.3">
      <c r="A48" s="520"/>
      <c r="B48" s="524"/>
      <c r="C48" s="495"/>
      <c r="D48" s="498"/>
      <c r="E48" s="357">
        <v>5</v>
      </c>
      <c r="F48" s="327"/>
      <c r="G48" s="208"/>
      <c r="H48" s="208"/>
      <c r="I48" s="285" t="str">
        <f t="shared" si="0"/>
        <v xml:space="preserve">  </v>
      </c>
      <c r="J48" s="208" t="s">
        <v>151</v>
      </c>
      <c r="K48" s="298">
        <f>+IFERROR(VLOOKUP($J48,'11 FORMULAS'!$B$51:$C$53,2,0),"")</f>
        <v>0.25</v>
      </c>
      <c r="L48" s="298" t="str">
        <f>+IFERROR(VLOOKUP($J48,'11 FORMULAS'!$B$51:$D$53,3,0),"")</f>
        <v>Probabilidad</v>
      </c>
      <c r="M48" s="358" t="s">
        <v>152</v>
      </c>
      <c r="N48" s="359">
        <f>+IFERROR(VLOOKUP($M48,'11 FORMULAS'!$B$54:$C$55,2,0),"")</f>
        <v>0.25</v>
      </c>
      <c r="O48" s="360" t="s">
        <v>164</v>
      </c>
      <c r="P48" s="360" t="s">
        <v>257</v>
      </c>
      <c r="Q48" s="360" t="s">
        <v>155</v>
      </c>
      <c r="R48" s="360" t="s">
        <v>265</v>
      </c>
      <c r="S48" s="298">
        <f t="shared" si="1"/>
        <v>0.5</v>
      </c>
      <c r="T48" s="298">
        <f>IF($L48='11 FORMULAS'!$D$51,$C$8-($C$8*$S$8),$C$8)</f>
        <v>0.36</v>
      </c>
      <c r="U48" s="298" t="str">
        <f>IF($L48='11 FORMULAS'!$D$53,$D$44-($D$44*$S$44),$D$44)</f>
        <v/>
      </c>
      <c r="V48" s="535"/>
      <c r="W48" s="538"/>
      <c r="X48" s="38"/>
      <c r="Y48" s="294"/>
      <c r="Z48" s="295"/>
      <c r="AA48" s="295"/>
    </row>
    <row r="49" spans="1:27" ht="29.45" hidden="1" customHeight="1" thickBot="1" x14ac:dyDescent="0.3">
      <c r="A49" s="521"/>
      <c r="B49" s="525"/>
      <c r="C49" s="496"/>
      <c r="D49" s="499"/>
      <c r="E49" s="361">
        <v>6</v>
      </c>
      <c r="F49" s="330"/>
      <c r="G49" s="209"/>
      <c r="H49" s="209"/>
      <c r="I49" s="285" t="str">
        <f t="shared" si="0"/>
        <v xml:space="preserve">  </v>
      </c>
      <c r="J49" s="208" t="s">
        <v>151</v>
      </c>
      <c r="K49" s="298">
        <f>+IFERROR(VLOOKUP($J49,'11 FORMULAS'!$B$51:$C$53,2,0),"")</f>
        <v>0.25</v>
      </c>
      <c r="L49" s="298" t="str">
        <f>+IFERROR(VLOOKUP($J49,'11 FORMULAS'!$B$51:$D$53,3,0),"")</f>
        <v>Probabilidad</v>
      </c>
      <c r="M49" s="358" t="s">
        <v>152</v>
      </c>
      <c r="N49" s="359">
        <f>+IFERROR(VLOOKUP($M49,'11 FORMULAS'!$B$54:$C$55,2,0),"")</f>
        <v>0.25</v>
      </c>
      <c r="O49" s="360" t="s">
        <v>164</v>
      </c>
      <c r="P49" s="360" t="s">
        <v>257</v>
      </c>
      <c r="Q49" s="360" t="s">
        <v>155</v>
      </c>
      <c r="R49" s="360" t="s">
        <v>265</v>
      </c>
      <c r="S49" s="298">
        <f t="shared" si="1"/>
        <v>0.5</v>
      </c>
      <c r="T49" s="298">
        <f>IF($L49='11 FORMULAS'!$D$51,$C$8-($C$8*$S$8),$C$8)</f>
        <v>0.36</v>
      </c>
      <c r="U49" s="298" t="str">
        <f>IF($L49='11 FORMULAS'!$D$53,$D$44-($D$44*$S$44),$D$44)</f>
        <v/>
      </c>
      <c r="V49" s="536"/>
      <c r="W49" s="539"/>
      <c r="X49" s="38"/>
    </row>
    <row r="50" spans="1:27" ht="29.45" hidden="1" customHeight="1" thickBot="1" x14ac:dyDescent="0.3">
      <c r="A50" s="518" t="str">
        <f>'2 CONTEXTO E IDENTIFICACIÓN'!A16</f>
        <v>R8</v>
      </c>
      <c r="B50" s="522" t="str">
        <f>+'2 CONTEXTO E IDENTIFICACIÓN'!J16</f>
        <v xml:space="preserve"> por a causa de </v>
      </c>
      <c r="C50" s="494" t="str">
        <f>+'3 PROBABIL E IMPACTO INHERENTE'!E16</f>
        <v/>
      </c>
      <c r="D50" s="497" t="str">
        <f>+'3 PROBABIL E IMPACTO INHERENTE'!M16</f>
        <v/>
      </c>
      <c r="E50" s="362">
        <v>1</v>
      </c>
      <c r="F50" s="328"/>
      <c r="G50" s="52"/>
      <c r="H50" s="52"/>
      <c r="I50" s="285" t="str">
        <f t="shared" si="0"/>
        <v xml:space="preserve">  </v>
      </c>
      <c r="J50" s="208" t="s">
        <v>151</v>
      </c>
      <c r="K50" s="298">
        <f>+IFERROR(VLOOKUP($J50,'11 FORMULAS'!$B$51:$C$53,2,0),"")</f>
        <v>0.25</v>
      </c>
      <c r="L50" s="298" t="str">
        <f>+IFERROR(VLOOKUP($J50,'11 FORMULAS'!$B$51:$D$53,3,0),"")</f>
        <v>Probabilidad</v>
      </c>
      <c r="M50" s="358" t="s">
        <v>152</v>
      </c>
      <c r="N50" s="359">
        <f>+IFERROR(VLOOKUP($M50,'11 FORMULAS'!$B$54:$C$55,2,0),"")</f>
        <v>0.25</v>
      </c>
      <c r="O50" s="360" t="s">
        <v>164</v>
      </c>
      <c r="P50" s="360" t="s">
        <v>257</v>
      </c>
      <c r="Q50" s="360" t="s">
        <v>155</v>
      </c>
      <c r="R50" s="360" t="s">
        <v>265</v>
      </c>
      <c r="S50" s="298">
        <f t="shared" si="1"/>
        <v>0.5</v>
      </c>
      <c r="T50" s="298">
        <f>IF($L50='11 FORMULAS'!$D$51,$C$8-($C$8*$S$8),$C$8)</f>
        <v>0.36</v>
      </c>
      <c r="U50" s="298" t="str">
        <f>IF($L50='11 FORMULAS'!$D$53,$D$50-($D$50*$S$50),$D$50)</f>
        <v/>
      </c>
      <c r="V50" s="534">
        <f>+IF(T55="","",T55)</f>
        <v>0.36</v>
      </c>
      <c r="W50" s="537" t="str">
        <f>+IF(U55="","",U55)</f>
        <v/>
      </c>
      <c r="X50" s="38"/>
      <c r="Y50" s="294"/>
      <c r="Z50" s="295"/>
      <c r="AA50" s="295"/>
    </row>
    <row r="51" spans="1:27" ht="29.45" hidden="1" customHeight="1" thickBot="1" x14ac:dyDescent="0.3">
      <c r="A51" s="520"/>
      <c r="B51" s="524"/>
      <c r="C51" s="495"/>
      <c r="D51" s="498"/>
      <c r="E51" s="357">
        <v>2</v>
      </c>
      <c r="F51" s="327"/>
      <c r="G51" s="208"/>
      <c r="H51" s="208"/>
      <c r="I51" s="285" t="str">
        <f t="shared" si="0"/>
        <v xml:space="preserve">  </v>
      </c>
      <c r="J51" s="208" t="s">
        <v>151</v>
      </c>
      <c r="K51" s="298">
        <f>+IFERROR(VLOOKUP($J51,'11 FORMULAS'!$B$51:$C$53,2,0),"")</f>
        <v>0.25</v>
      </c>
      <c r="L51" s="298" t="str">
        <f>+IFERROR(VLOOKUP($J51,'11 FORMULAS'!$B$51:$D$53,3,0),"")</f>
        <v>Probabilidad</v>
      </c>
      <c r="M51" s="358" t="s">
        <v>152</v>
      </c>
      <c r="N51" s="359">
        <f>+IFERROR(VLOOKUP($M51,'11 FORMULAS'!$B$54:$C$55,2,0),"")</f>
        <v>0.25</v>
      </c>
      <c r="O51" s="360" t="s">
        <v>164</v>
      </c>
      <c r="P51" s="360" t="s">
        <v>257</v>
      </c>
      <c r="Q51" s="360" t="s">
        <v>155</v>
      </c>
      <c r="R51" s="360" t="s">
        <v>265</v>
      </c>
      <c r="S51" s="298">
        <f t="shared" si="1"/>
        <v>0.5</v>
      </c>
      <c r="T51" s="298">
        <f>IF($L51='11 FORMULAS'!$D$51,$C$8-($C$8*$S$8),$C$8)</f>
        <v>0.36</v>
      </c>
      <c r="U51" s="298" t="str">
        <f>IF($L51='11 FORMULAS'!$D$53,$D$50-($D$50*$S$50),$D$50)</f>
        <v/>
      </c>
      <c r="V51" s="535"/>
      <c r="W51" s="538"/>
      <c r="X51" s="38"/>
      <c r="Y51" s="294"/>
      <c r="Z51" s="295"/>
      <c r="AA51" s="295"/>
    </row>
    <row r="52" spans="1:27" ht="29.45" hidden="1" customHeight="1" thickBot="1" x14ac:dyDescent="0.3">
      <c r="A52" s="520"/>
      <c r="B52" s="524"/>
      <c r="C52" s="495"/>
      <c r="D52" s="498"/>
      <c r="E52" s="357">
        <v>3</v>
      </c>
      <c r="F52" s="327"/>
      <c r="G52" s="208"/>
      <c r="H52" s="208"/>
      <c r="I52" s="285" t="str">
        <f t="shared" si="0"/>
        <v xml:space="preserve">  </v>
      </c>
      <c r="J52" s="208" t="s">
        <v>151</v>
      </c>
      <c r="K52" s="298">
        <f>+IFERROR(VLOOKUP($J52,'11 FORMULAS'!$B$51:$C$53,2,0),"")</f>
        <v>0.25</v>
      </c>
      <c r="L52" s="298" t="str">
        <f>+IFERROR(VLOOKUP($J52,'11 FORMULAS'!$B$51:$D$53,3,0),"")</f>
        <v>Probabilidad</v>
      </c>
      <c r="M52" s="358" t="s">
        <v>152</v>
      </c>
      <c r="N52" s="359">
        <f>+IFERROR(VLOOKUP($M52,'11 FORMULAS'!$B$54:$C$55,2,0),"")</f>
        <v>0.25</v>
      </c>
      <c r="O52" s="360" t="s">
        <v>164</v>
      </c>
      <c r="P52" s="360" t="s">
        <v>257</v>
      </c>
      <c r="Q52" s="360" t="s">
        <v>155</v>
      </c>
      <c r="R52" s="360" t="s">
        <v>265</v>
      </c>
      <c r="S52" s="298">
        <f t="shared" si="1"/>
        <v>0.5</v>
      </c>
      <c r="T52" s="298">
        <f>IF($L52='11 FORMULAS'!$D$51,$C$8-($C$8*$S$8),$C$8)</f>
        <v>0.36</v>
      </c>
      <c r="U52" s="298" t="str">
        <f>IF($L52='11 FORMULAS'!$D$53,$D$50-($D$50*$S$50),$D$50)</f>
        <v/>
      </c>
      <c r="V52" s="535"/>
      <c r="W52" s="538"/>
      <c r="X52" s="38"/>
      <c r="Y52" s="294"/>
      <c r="Z52" s="295"/>
      <c r="AA52" s="295"/>
    </row>
    <row r="53" spans="1:27" ht="29.45" hidden="1" customHeight="1" thickBot="1" x14ac:dyDescent="0.3">
      <c r="A53" s="520"/>
      <c r="B53" s="524"/>
      <c r="C53" s="495"/>
      <c r="D53" s="498"/>
      <c r="E53" s="357">
        <v>4</v>
      </c>
      <c r="F53" s="327"/>
      <c r="G53" s="208"/>
      <c r="H53" s="208"/>
      <c r="I53" s="285" t="str">
        <f t="shared" si="0"/>
        <v xml:space="preserve">  </v>
      </c>
      <c r="J53" s="208" t="s">
        <v>151</v>
      </c>
      <c r="K53" s="298">
        <f>+IFERROR(VLOOKUP($J53,'11 FORMULAS'!$B$51:$C$53,2,0),"")</f>
        <v>0.25</v>
      </c>
      <c r="L53" s="298" t="str">
        <f>+IFERROR(VLOOKUP($J53,'11 FORMULAS'!$B$51:$D$53,3,0),"")</f>
        <v>Probabilidad</v>
      </c>
      <c r="M53" s="358" t="s">
        <v>152</v>
      </c>
      <c r="N53" s="359">
        <f>+IFERROR(VLOOKUP($M53,'11 FORMULAS'!$B$54:$C$55,2,0),"")</f>
        <v>0.25</v>
      </c>
      <c r="O53" s="360" t="s">
        <v>164</v>
      </c>
      <c r="P53" s="360" t="s">
        <v>257</v>
      </c>
      <c r="Q53" s="360" t="s">
        <v>155</v>
      </c>
      <c r="R53" s="360" t="s">
        <v>265</v>
      </c>
      <c r="S53" s="298">
        <f t="shared" si="1"/>
        <v>0.5</v>
      </c>
      <c r="T53" s="298">
        <f>IF($L53='11 FORMULAS'!$D$51,$C$8-($C$8*$S$8),$C$8)</f>
        <v>0.36</v>
      </c>
      <c r="U53" s="298" t="str">
        <f>IF($L53='11 FORMULAS'!$D$53,$D$50-($D$50*$S$50),$D$50)</f>
        <v/>
      </c>
      <c r="V53" s="535"/>
      <c r="W53" s="538"/>
      <c r="X53" s="38"/>
      <c r="Y53" s="294"/>
      <c r="Z53" s="295"/>
      <c r="AA53" s="295"/>
    </row>
    <row r="54" spans="1:27" ht="29.45" hidden="1" customHeight="1" thickBot="1" x14ac:dyDescent="0.3">
      <c r="A54" s="520"/>
      <c r="B54" s="524"/>
      <c r="C54" s="495"/>
      <c r="D54" s="498"/>
      <c r="E54" s="357">
        <v>5</v>
      </c>
      <c r="F54" s="327"/>
      <c r="G54" s="208"/>
      <c r="H54" s="208"/>
      <c r="I54" s="285" t="str">
        <f t="shared" si="0"/>
        <v xml:space="preserve">  </v>
      </c>
      <c r="J54" s="208" t="s">
        <v>151</v>
      </c>
      <c r="K54" s="298">
        <f>+IFERROR(VLOOKUP($J54,'11 FORMULAS'!$B$51:$C$53,2,0),"")</f>
        <v>0.25</v>
      </c>
      <c r="L54" s="298" t="str">
        <f>+IFERROR(VLOOKUP($J54,'11 FORMULAS'!$B$51:$D$53,3,0),"")</f>
        <v>Probabilidad</v>
      </c>
      <c r="M54" s="358" t="s">
        <v>152</v>
      </c>
      <c r="N54" s="359">
        <f>+IFERROR(VLOOKUP($M54,'11 FORMULAS'!$B$54:$C$55,2,0),"")</f>
        <v>0.25</v>
      </c>
      <c r="O54" s="360" t="s">
        <v>164</v>
      </c>
      <c r="P54" s="360" t="s">
        <v>257</v>
      </c>
      <c r="Q54" s="360" t="s">
        <v>155</v>
      </c>
      <c r="R54" s="360" t="s">
        <v>265</v>
      </c>
      <c r="S54" s="298">
        <f t="shared" si="1"/>
        <v>0.5</v>
      </c>
      <c r="T54" s="298">
        <f>IF($L54='11 FORMULAS'!$D$51,$C$8-($C$8*$S$8),$C$8)</f>
        <v>0.36</v>
      </c>
      <c r="U54" s="298" t="str">
        <f>IF($L54='11 FORMULAS'!$D$53,$D$50-($D$50*$S$50),$D$50)</f>
        <v/>
      </c>
      <c r="V54" s="535"/>
      <c r="W54" s="538"/>
      <c r="X54" s="38"/>
      <c r="Y54" s="294"/>
      <c r="Z54" s="295"/>
      <c r="AA54" s="295"/>
    </row>
    <row r="55" spans="1:27" ht="29.45" hidden="1" customHeight="1" thickBot="1" x14ac:dyDescent="0.3">
      <c r="A55" s="521"/>
      <c r="B55" s="525"/>
      <c r="C55" s="496"/>
      <c r="D55" s="499"/>
      <c r="E55" s="361">
        <v>6</v>
      </c>
      <c r="F55" s="330"/>
      <c r="G55" s="209"/>
      <c r="H55" s="209"/>
      <c r="I55" s="285" t="str">
        <f t="shared" si="0"/>
        <v xml:space="preserve">  </v>
      </c>
      <c r="J55" s="208" t="s">
        <v>151</v>
      </c>
      <c r="K55" s="298">
        <f>+IFERROR(VLOOKUP($J55,'11 FORMULAS'!$B$51:$C$53,2,0),"")</f>
        <v>0.25</v>
      </c>
      <c r="L55" s="298" t="str">
        <f>+IFERROR(VLOOKUP($J55,'11 FORMULAS'!$B$51:$D$53,3,0),"")</f>
        <v>Probabilidad</v>
      </c>
      <c r="M55" s="358" t="s">
        <v>152</v>
      </c>
      <c r="N55" s="359">
        <f>+IFERROR(VLOOKUP($M55,'11 FORMULAS'!$B$54:$C$55,2,0),"")</f>
        <v>0.25</v>
      </c>
      <c r="O55" s="360" t="s">
        <v>164</v>
      </c>
      <c r="P55" s="360" t="s">
        <v>257</v>
      </c>
      <c r="Q55" s="360" t="s">
        <v>155</v>
      </c>
      <c r="R55" s="360" t="s">
        <v>265</v>
      </c>
      <c r="S55" s="298">
        <f t="shared" si="1"/>
        <v>0.5</v>
      </c>
      <c r="T55" s="298">
        <f>IF($L55='11 FORMULAS'!$D$51,$C$8-($C$8*$S$8),$C$8)</f>
        <v>0.36</v>
      </c>
      <c r="U55" s="298" t="str">
        <f>IF($L55='11 FORMULAS'!$D$53,$D$50-($D$50*$S$50),$D$50)</f>
        <v/>
      </c>
      <c r="V55" s="536"/>
      <c r="W55" s="539"/>
      <c r="X55" s="38"/>
    </row>
    <row r="56" spans="1:27" ht="29.45" hidden="1" customHeight="1" thickBot="1" x14ac:dyDescent="0.3">
      <c r="A56" s="518" t="str">
        <f>'2 CONTEXTO E IDENTIFICACIÓN'!A17</f>
        <v>R9</v>
      </c>
      <c r="B56" s="522" t="str">
        <f>+'2 CONTEXTO E IDENTIFICACIÓN'!J17</f>
        <v xml:space="preserve"> por a causa de </v>
      </c>
      <c r="C56" s="494" t="str">
        <f>+'3 PROBABIL E IMPACTO INHERENTE'!E17</f>
        <v/>
      </c>
      <c r="D56" s="497" t="str">
        <f>+'3 PROBABIL E IMPACTO INHERENTE'!M17</f>
        <v/>
      </c>
      <c r="E56" s="362">
        <v>1</v>
      </c>
      <c r="F56" s="328"/>
      <c r="G56" s="52"/>
      <c r="H56" s="52"/>
      <c r="I56" s="285" t="str">
        <f t="shared" si="0"/>
        <v xml:space="preserve">  </v>
      </c>
      <c r="J56" s="208" t="s">
        <v>151</v>
      </c>
      <c r="K56" s="298">
        <f>+IFERROR(VLOOKUP($J56,'11 FORMULAS'!$B$51:$C$53,2,0),"")</f>
        <v>0.25</v>
      </c>
      <c r="L56" s="298" t="str">
        <f>+IFERROR(VLOOKUP($J56,'11 FORMULAS'!$B$51:$D$53,3,0),"")</f>
        <v>Probabilidad</v>
      </c>
      <c r="M56" s="358" t="s">
        <v>152</v>
      </c>
      <c r="N56" s="359">
        <f>+IFERROR(VLOOKUP($M56,'11 FORMULAS'!$B$54:$C$55,2,0),"")</f>
        <v>0.25</v>
      </c>
      <c r="O56" s="360" t="s">
        <v>164</v>
      </c>
      <c r="P56" s="360" t="s">
        <v>257</v>
      </c>
      <c r="Q56" s="360" t="s">
        <v>155</v>
      </c>
      <c r="R56" s="360" t="s">
        <v>265</v>
      </c>
      <c r="S56" s="298">
        <f t="shared" si="1"/>
        <v>0.5</v>
      </c>
      <c r="T56" s="298">
        <f>IF($L56='11 FORMULAS'!$D$51,$C$8-($C$8*$S$8),$C$8)</f>
        <v>0.36</v>
      </c>
      <c r="U56" s="298" t="str">
        <f>IF($L56='11 FORMULAS'!$D$53,$D$56-($D$56*$S$56),$D$56)</f>
        <v/>
      </c>
      <c r="V56" s="534">
        <f>+IF(T61="","",T61)</f>
        <v>0.36</v>
      </c>
      <c r="W56" s="537" t="str">
        <f>+IF(U61="","",U61)</f>
        <v/>
      </c>
      <c r="X56" s="38"/>
      <c r="Y56" s="294"/>
      <c r="Z56" s="295"/>
      <c r="AA56" s="295"/>
    </row>
    <row r="57" spans="1:27" ht="29.45" hidden="1" customHeight="1" thickBot="1" x14ac:dyDescent="0.3">
      <c r="A57" s="520"/>
      <c r="B57" s="524"/>
      <c r="C57" s="495"/>
      <c r="D57" s="498"/>
      <c r="E57" s="357">
        <v>2</v>
      </c>
      <c r="F57" s="327"/>
      <c r="G57" s="208"/>
      <c r="H57" s="208"/>
      <c r="I57" s="285" t="str">
        <f t="shared" si="0"/>
        <v xml:space="preserve">  </v>
      </c>
      <c r="J57" s="208" t="s">
        <v>151</v>
      </c>
      <c r="K57" s="298">
        <f>+IFERROR(VLOOKUP($J57,'11 FORMULAS'!$B$51:$C$53,2,0),"")</f>
        <v>0.25</v>
      </c>
      <c r="L57" s="298" t="str">
        <f>+IFERROR(VLOOKUP($J57,'11 FORMULAS'!$B$51:$D$53,3,0),"")</f>
        <v>Probabilidad</v>
      </c>
      <c r="M57" s="358" t="s">
        <v>152</v>
      </c>
      <c r="N57" s="359">
        <f>+IFERROR(VLOOKUP($M57,'11 FORMULAS'!$B$54:$C$55,2,0),"")</f>
        <v>0.25</v>
      </c>
      <c r="O57" s="360" t="s">
        <v>164</v>
      </c>
      <c r="P57" s="360" t="s">
        <v>257</v>
      </c>
      <c r="Q57" s="360" t="s">
        <v>155</v>
      </c>
      <c r="R57" s="360" t="s">
        <v>265</v>
      </c>
      <c r="S57" s="298">
        <f t="shared" si="1"/>
        <v>0.5</v>
      </c>
      <c r="T57" s="298">
        <f>IF($L57='11 FORMULAS'!$D$51,$C$8-($C$8*$S$8),$C$8)</f>
        <v>0.36</v>
      </c>
      <c r="U57" s="298" t="str">
        <f>IF($L57='11 FORMULAS'!$D$53,$D$56-($D$56*$S$56),$D$56)</f>
        <v/>
      </c>
      <c r="V57" s="535"/>
      <c r="W57" s="538"/>
      <c r="X57" s="38"/>
      <c r="Y57" s="294"/>
      <c r="Z57" s="295"/>
      <c r="AA57" s="295"/>
    </row>
    <row r="58" spans="1:27" ht="29.45" hidden="1" customHeight="1" thickBot="1" x14ac:dyDescent="0.3">
      <c r="A58" s="520"/>
      <c r="B58" s="524"/>
      <c r="C58" s="495"/>
      <c r="D58" s="498"/>
      <c r="E58" s="357">
        <v>3</v>
      </c>
      <c r="F58" s="327"/>
      <c r="G58" s="208"/>
      <c r="H58" s="208"/>
      <c r="I58" s="285" t="str">
        <f t="shared" si="0"/>
        <v xml:space="preserve">  </v>
      </c>
      <c r="J58" s="208" t="s">
        <v>151</v>
      </c>
      <c r="K58" s="298">
        <f>+IFERROR(VLOOKUP($J58,'11 FORMULAS'!$B$51:$C$53,2,0),"")</f>
        <v>0.25</v>
      </c>
      <c r="L58" s="298" t="str">
        <f>+IFERROR(VLOOKUP($J58,'11 FORMULAS'!$B$51:$D$53,3,0),"")</f>
        <v>Probabilidad</v>
      </c>
      <c r="M58" s="358" t="s">
        <v>152</v>
      </c>
      <c r="N58" s="359">
        <f>+IFERROR(VLOOKUP($M58,'11 FORMULAS'!$B$54:$C$55,2,0),"")</f>
        <v>0.25</v>
      </c>
      <c r="O58" s="360" t="s">
        <v>164</v>
      </c>
      <c r="P58" s="360" t="s">
        <v>257</v>
      </c>
      <c r="Q58" s="360" t="s">
        <v>155</v>
      </c>
      <c r="R58" s="360" t="s">
        <v>265</v>
      </c>
      <c r="S58" s="298">
        <f t="shared" si="1"/>
        <v>0.5</v>
      </c>
      <c r="T58" s="298">
        <f>IF($L58='11 FORMULAS'!$D$51,$C$8-($C$8*$S$8),$C$8)</f>
        <v>0.36</v>
      </c>
      <c r="U58" s="298" t="str">
        <f>IF($L58='11 FORMULAS'!$D$53,$D$56-($D$56*$S$56),$D$56)</f>
        <v/>
      </c>
      <c r="V58" s="535"/>
      <c r="W58" s="538"/>
      <c r="X58" s="38"/>
      <c r="Y58" s="294"/>
      <c r="Z58" s="295"/>
      <c r="AA58" s="295"/>
    </row>
    <row r="59" spans="1:27" ht="29.45" hidden="1" customHeight="1" thickBot="1" x14ac:dyDescent="0.3">
      <c r="A59" s="520"/>
      <c r="B59" s="524"/>
      <c r="C59" s="495"/>
      <c r="D59" s="498"/>
      <c r="E59" s="357">
        <v>4</v>
      </c>
      <c r="F59" s="327"/>
      <c r="G59" s="208"/>
      <c r="H59" s="208"/>
      <c r="I59" s="285" t="str">
        <f t="shared" si="0"/>
        <v xml:space="preserve">  </v>
      </c>
      <c r="J59" s="208" t="s">
        <v>151</v>
      </c>
      <c r="K59" s="298">
        <f>+IFERROR(VLOOKUP($J59,'11 FORMULAS'!$B$51:$C$53,2,0),"")</f>
        <v>0.25</v>
      </c>
      <c r="L59" s="298" t="str">
        <f>+IFERROR(VLOOKUP($J59,'11 FORMULAS'!$B$51:$D$53,3,0),"")</f>
        <v>Probabilidad</v>
      </c>
      <c r="M59" s="358" t="s">
        <v>152</v>
      </c>
      <c r="N59" s="359">
        <f>+IFERROR(VLOOKUP($M59,'11 FORMULAS'!$B$54:$C$55,2,0),"")</f>
        <v>0.25</v>
      </c>
      <c r="O59" s="360" t="s">
        <v>164</v>
      </c>
      <c r="P59" s="360" t="s">
        <v>257</v>
      </c>
      <c r="Q59" s="360" t="s">
        <v>155</v>
      </c>
      <c r="R59" s="360" t="s">
        <v>265</v>
      </c>
      <c r="S59" s="298">
        <f t="shared" si="1"/>
        <v>0.5</v>
      </c>
      <c r="T59" s="298">
        <f>IF($L59='11 FORMULAS'!$D$51,$C$8-($C$8*$S$8),$C$8)</f>
        <v>0.36</v>
      </c>
      <c r="U59" s="298" t="str">
        <f>IF($L59='11 FORMULAS'!$D$53,$D$56-($D$56*$S$56),$D$56)</f>
        <v/>
      </c>
      <c r="V59" s="535"/>
      <c r="W59" s="538"/>
      <c r="X59" s="38"/>
      <c r="Y59" s="294"/>
      <c r="Z59" s="295"/>
      <c r="AA59" s="295"/>
    </row>
    <row r="60" spans="1:27" ht="29.45" hidden="1" customHeight="1" thickBot="1" x14ac:dyDescent="0.3">
      <c r="A60" s="520"/>
      <c r="B60" s="524"/>
      <c r="C60" s="495"/>
      <c r="D60" s="498"/>
      <c r="E60" s="357">
        <v>5</v>
      </c>
      <c r="F60" s="327"/>
      <c r="G60" s="208"/>
      <c r="H60" s="208"/>
      <c r="I60" s="285" t="str">
        <f t="shared" si="0"/>
        <v xml:space="preserve">  </v>
      </c>
      <c r="J60" s="208" t="s">
        <v>151</v>
      </c>
      <c r="K60" s="298">
        <f>+IFERROR(VLOOKUP($J60,'11 FORMULAS'!$B$51:$C$53,2,0),"")</f>
        <v>0.25</v>
      </c>
      <c r="L60" s="298" t="str">
        <f>+IFERROR(VLOOKUP($J60,'11 FORMULAS'!$B$51:$D$53,3,0),"")</f>
        <v>Probabilidad</v>
      </c>
      <c r="M60" s="358" t="s">
        <v>152</v>
      </c>
      <c r="N60" s="359">
        <f>+IFERROR(VLOOKUP($M60,'11 FORMULAS'!$B$54:$C$55,2,0),"")</f>
        <v>0.25</v>
      </c>
      <c r="O60" s="360" t="s">
        <v>164</v>
      </c>
      <c r="P60" s="360" t="s">
        <v>257</v>
      </c>
      <c r="Q60" s="360" t="s">
        <v>155</v>
      </c>
      <c r="R60" s="360" t="s">
        <v>265</v>
      </c>
      <c r="S60" s="298">
        <f t="shared" si="1"/>
        <v>0.5</v>
      </c>
      <c r="T60" s="298">
        <f>IF($L60='11 FORMULAS'!$D$51,$C$8-($C$8*$S$8),$C$8)</f>
        <v>0.36</v>
      </c>
      <c r="U60" s="298" t="str">
        <f>IF($L60='11 FORMULAS'!$D$53,$D$56-($D$56*$S$56),$D$56)</f>
        <v/>
      </c>
      <c r="V60" s="535"/>
      <c r="W60" s="538"/>
      <c r="X60" s="38"/>
      <c r="Y60" s="294"/>
      <c r="Z60" s="295"/>
      <c r="AA60" s="295"/>
    </row>
    <row r="61" spans="1:27" ht="29.45" hidden="1" customHeight="1" thickBot="1" x14ac:dyDescent="0.3">
      <c r="A61" s="521"/>
      <c r="B61" s="525"/>
      <c r="C61" s="496"/>
      <c r="D61" s="499"/>
      <c r="E61" s="361">
        <v>6</v>
      </c>
      <c r="F61" s="330"/>
      <c r="G61" s="209"/>
      <c r="H61" s="209"/>
      <c r="I61" s="285" t="str">
        <f t="shared" si="0"/>
        <v xml:space="preserve">  </v>
      </c>
      <c r="J61" s="208" t="s">
        <v>151</v>
      </c>
      <c r="K61" s="298">
        <f>+IFERROR(VLOOKUP($J61,'11 FORMULAS'!$B$51:$C$53,2,0),"")</f>
        <v>0.25</v>
      </c>
      <c r="L61" s="298" t="str">
        <f>+IFERROR(VLOOKUP($J61,'11 FORMULAS'!$B$51:$D$53,3,0),"")</f>
        <v>Probabilidad</v>
      </c>
      <c r="M61" s="358" t="s">
        <v>152</v>
      </c>
      <c r="N61" s="359">
        <f>+IFERROR(VLOOKUP($M61,'11 FORMULAS'!$B$54:$C$55,2,0),"")</f>
        <v>0.25</v>
      </c>
      <c r="O61" s="360" t="s">
        <v>164</v>
      </c>
      <c r="P61" s="360" t="s">
        <v>257</v>
      </c>
      <c r="Q61" s="360" t="s">
        <v>155</v>
      </c>
      <c r="R61" s="360" t="s">
        <v>265</v>
      </c>
      <c r="S61" s="298">
        <f t="shared" si="1"/>
        <v>0.5</v>
      </c>
      <c r="T61" s="298">
        <f>IF($L61='11 FORMULAS'!$D$51,$C$8-($C$8*$S$8),$C$8)</f>
        <v>0.36</v>
      </c>
      <c r="U61" s="298" t="str">
        <f>IF($L61='11 FORMULAS'!$D$53,$D$56-($D$56*$S$56),$D$56)</f>
        <v/>
      </c>
      <c r="V61" s="536"/>
      <c r="W61" s="539"/>
      <c r="X61" s="38"/>
    </row>
    <row r="62" spans="1:27" ht="29.45" hidden="1" customHeight="1" thickBot="1" x14ac:dyDescent="0.3">
      <c r="A62" s="518" t="str">
        <f>'2 CONTEXTO E IDENTIFICACIÓN'!A18</f>
        <v>R10</v>
      </c>
      <c r="B62" s="522" t="str">
        <f>+'2 CONTEXTO E IDENTIFICACIÓN'!J18</f>
        <v xml:space="preserve"> por a causa de </v>
      </c>
      <c r="C62" s="494" t="str">
        <f>+'3 PROBABIL E IMPACTO INHERENTE'!E18</f>
        <v/>
      </c>
      <c r="D62" s="497" t="str">
        <f>+'3 PROBABIL E IMPACTO INHERENTE'!M18</f>
        <v/>
      </c>
      <c r="E62" s="362">
        <v>1</v>
      </c>
      <c r="F62" s="328"/>
      <c r="G62" s="52"/>
      <c r="H62" s="52"/>
      <c r="I62" s="285" t="str">
        <f t="shared" si="0"/>
        <v xml:space="preserve">  </v>
      </c>
      <c r="J62" s="208" t="s">
        <v>151</v>
      </c>
      <c r="K62" s="298">
        <f>+IFERROR(VLOOKUP($J62,'11 FORMULAS'!$B$51:$C$53,2,0),"")</f>
        <v>0.25</v>
      </c>
      <c r="L62" s="298" t="str">
        <f>+IFERROR(VLOOKUP($J62,'11 FORMULAS'!$B$51:$D$53,3,0),"")</f>
        <v>Probabilidad</v>
      </c>
      <c r="M62" s="358" t="s">
        <v>152</v>
      </c>
      <c r="N62" s="359">
        <f>+IFERROR(VLOOKUP($M62,'11 FORMULAS'!$B$54:$C$55,2,0),"")</f>
        <v>0.25</v>
      </c>
      <c r="O62" s="360" t="s">
        <v>164</v>
      </c>
      <c r="P62" s="360" t="s">
        <v>257</v>
      </c>
      <c r="Q62" s="360" t="s">
        <v>155</v>
      </c>
      <c r="R62" s="360" t="s">
        <v>265</v>
      </c>
      <c r="S62" s="298">
        <f t="shared" si="1"/>
        <v>0.5</v>
      </c>
      <c r="T62" s="298">
        <f>IF($L62='11 FORMULAS'!$D$51,$C$8-($C$8*$S$8),$C$8)</f>
        <v>0.36</v>
      </c>
      <c r="U62" s="298" t="str">
        <f>IF($L62='11 FORMULAS'!$D$53,$D$62-($D$62*$S$62),$D$62)</f>
        <v/>
      </c>
      <c r="V62" s="534">
        <f>+IF(T67="","",T67)</f>
        <v>0.36</v>
      </c>
      <c r="W62" s="537" t="str">
        <f>+IF(U67="","",U67)</f>
        <v/>
      </c>
      <c r="X62" s="38"/>
      <c r="Y62" s="294"/>
      <c r="Z62" s="295"/>
      <c r="AA62" s="295"/>
    </row>
    <row r="63" spans="1:27" ht="29.45" hidden="1" customHeight="1" thickBot="1" x14ac:dyDescent="0.3">
      <c r="A63" s="520"/>
      <c r="B63" s="524"/>
      <c r="C63" s="495"/>
      <c r="D63" s="498"/>
      <c r="E63" s="357">
        <v>2</v>
      </c>
      <c r="F63" s="327"/>
      <c r="G63" s="208"/>
      <c r="H63" s="208"/>
      <c r="I63" s="285" t="str">
        <f t="shared" si="0"/>
        <v xml:space="preserve">  </v>
      </c>
      <c r="J63" s="208" t="s">
        <v>151</v>
      </c>
      <c r="K63" s="298">
        <f>+IFERROR(VLOOKUP($J63,'11 FORMULAS'!$B$51:$C$53,2,0),"")</f>
        <v>0.25</v>
      </c>
      <c r="L63" s="298" t="str">
        <f>+IFERROR(VLOOKUP($J63,'11 FORMULAS'!$B$51:$D$53,3,0),"")</f>
        <v>Probabilidad</v>
      </c>
      <c r="M63" s="358" t="s">
        <v>152</v>
      </c>
      <c r="N63" s="359">
        <f>+IFERROR(VLOOKUP($M63,'11 FORMULAS'!$B$54:$C$55,2,0),"")</f>
        <v>0.25</v>
      </c>
      <c r="O63" s="360" t="s">
        <v>164</v>
      </c>
      <c r="P63" s="360" t="s">
        <v>257</v>
      </c>
      <c r="Q63" s="360" t="s">
        <v>155</v>
      </c>
      <c r="R63" s="360" t="s">
        <v>265</v>
      </c>
      <c r="S63" s="298">
        <f t="shared" si="1"/>
        <v>0.5</v>
      </c>
      <c r="T63" s="298">
        <f>IF($L63='11 FORMULAS'!$D$51,$C$8-($C$8*$S$8),$C$8)</f>
        <v>0.36</v>
      </c>
      <c r="U63" s="298" t="str">
        <f>IF($L63='11 FORMULAS'!$D$53,$D$62-($D$62*$S$62),$D$62)</f>
        <v/>
      </c>
      <c r="V63" s="535"/>
      <c r="W63" s="538"/>
      <c r="X63" s="38"/>
      <c r="Y63" s="294"/>
      <c r="Z63" s="295"/>
      <c r="AA63" s="295"/>
    </row>
    <row r="64" spans="1:27" ht="29.45" hidden="1" customHeight="1" thickBot="1" x14ac:dyDescent="0.3">
      <c r="A64" s="520"/>
      <c r="B64" s="524"/>
      <c r="C64" s="495"/>
      <c r="D64" s="498"/>
      <c r="E64" s="357">
        <v>3</v>
      </c>
      <c r="F64" s="327"/>
      <c r="G64" s="208"/>
      <c r="H64" s="208"/>
      <c r="I64" s="285" t="str">
        <f t="shared" si="0"/>
        <v xml:space="preserve">  </v>
      </c>
      <c r="J64" s="208" t="s">
        <v>151</v>
      </c>
      <c r="K64" s="298">
        <f>+IFERROR(VLOOKUP($J64,'11 FORMULAS'!$B$51:$C$53,2,0),"")</f>
        <v>0.25</v>
      </c>
      <c r="L64" s="298" t="str">
        <f>+IFERROR(VLOOKUP($J64,'11 FORMULAS'!$B$51:$D$53,3,0),"")</f>
        <v>Probabilidad</v>
      </c>
      <c r="M64" s="358" t="s">
        <v>152</v>
      </c>
      <c r="N64" s="359">
        <f>+IFERROR(VLOOKUP($M64,'11 FORMULAS'!$B$54:$C$55,2,0),"")</f>
        <v>0.25</v>
      </c>
      <c r="O64" s="360" t="s">
        <v>164</v>
      </c>
      <c r="P64" s="360" t="s">
        <v>257</v>
      </c>
      <c r="Q64" s="360" t="s">
        <v>155</v>
      </c>
      <c r="R64" s="360" t="s">
        <v>265</v>
      </c>
      <c r="S64" s="298">
        <f t="shared" si="1"/>
        <v>0.5</v>
      </c>
      <c r="T64" s="298">
        <f>IF($L64='11 FORMULAS'!$D$51,$C$8-($C$8*$S$8),$C$8)</f>
        <v>0.36</v>
      </c>
      <c r="U64" s="298" t="str">
        <f>IF($L64='11 FORMULAS'!$D$53,$D$62-($D$62*$S$62),$D$62)</f>
        <v/>
      </c>
      <c r="V64" s="535"/>
      <c r="W64" s="538"/>
      <c r="X64" s="38"/>
      <c r="Y64" s="294"/>
      <c r="Z64" s="295"/>
      <c r="AA64" s="295"/>
    </row>
    <row r="65" spans="1:27" ht="29.45" hidden="1" customHeight="1" thickBot="1" x14ac:dyDescent="0.3">
      <c r="A65" s="520"/>
      <c r="B65" s="524"/>
      <c r="C65" s="495"/>
      <c r="D65" s="498"/>
      <c r="E65" s="357">
        <v>4</v>
      </c>
      <c r="F65" s="327"/>
      <c r="G65" s="208"/>
      <c r="H65" s="208"/>
      <c r="I65" s="285" t="str">
        <f t="shared" si="0"/>
        <v xml:space="preserve">  </v>
      </c>
      <c r="J65" s="208" t="s">
        <v>151</v>
      </c>
      <c r="K65" s="298">
        <f>+IFERROR(VLOOKUP($J65,'11 FORMULAS'!$B$51:$C$53,2,0),"")</f>
        <v>0.25</v>
      </c>
      <c r="L65" s="298" t="str">
        <f>+IFERROR(VLOOKUP($J65,'11 FORMULAS'!$B$51:$D$53,3,0),"")</f>
        <v>Probabilidad</v>
      </c>
      <c r="M65" s="358" t="s">
        <v>152</v>
      </c>
      <c r="N65" s="359">
        <f>+IFERROR(VLOOKUP($M65,'11 FORMULAS'!$B$54:$C$55,2,0),"")</f>
        <v>0.25</v>
      </c>
      <c r="O65" s="360" t="s">
        <v>164</v>
      </c>
      <c r="P65" s="360" t="s">
        <v>257</v>
      </c>
      <c r="Q65" s="360" t="s">
        <v>155</v>
      </c>
      <c r="R65" s="360" t="s">
        <v>265</v>
      </c>
      <c r="S65" s="298">
        <f t="shared" si="1"/>
        <v>0.5</v>
      </c>
      <c r="T65" s="298">
        <f>IF($L65='11 FORMULAS'!$D$51,$C$8-($C$8*$S$8),$C$8)</f>
        <v>0.36</v>
      </c>
      <c r="U65" s="298" t="str">
        <f>IF($L65='11 FORMULAS'!$D$53,$D$62-($D$62*$S$62),$D$62)</f>
        <v/>
      </c>
      <c r="V65" s="535"/>
      <c r="W65" s="538"/>
      <c r="X65" s="38"/>
      <c r="Y65" s="294"/>
      <c r="Z65" s="295"/>
      <c r="AA65" s="295"/>
    </row>
    <row r="66" spans="1:27" ht="29.45" hidden="1" customHeight="1" thickBot="1" x14ac:dyDescent="0.3">
      <c r="A66" s="520"/>
      <c r="B66" s="524"/>
      <c r="C66" s="495"/>
      <c r="D66" s="498"/>
      <c r="E66" s="357">
        <v>5</v>
      </c>
      <c r="F66" s="327"/>
      <c r="G66" s="208"/>
      <c r="H66" s="208"/>
      <c r="I66" s="285" t="str">
        <f t="shared" si="0"/>
        <v xml:space="preserve">  </v>
      </c>
      <c r="J66" s="208" t="s">
        <v>151</v>
      </c>
      <c r="K66" s="298">
        <f>+IFERROR(VLOOKUP($J66,'11 FORMULAS'!$B$51:$C$53,2,0),"")</f>
        <v>0.25</v>
      </c>
      <c r="L66" s="298" t="str">
        <f>+IFERROR(VLOOKUP($J66,'11 FORMULAS'!$B$51:$D$53,3,0),"")</f>
        <v>Probabilidad</v>
      </c>
      <c r="M66" s="358" t="s">
        <v>152</v>
      </c>
      <c r="N66" s="359">
        <f>+IFERROR(VLOOKUP($M66,'11 FORMULAS'!$B$54:$C$55,2,0),"")</f>
        <v>0.25</v>
      </c>
      <c r="O66" s="360" t="s">
        <v>164</v>
      </c>
      <c r="P66" s="360" t="s">
        <v>257</v>
      </c>
      <c r="Q66" s="360" t="s">
        <v>155</v>
      </c>
      <c r="R66" s="360" t="s">
        <v>265</v>
      </c>
      <c r="S66" s="298">
        <f t="shared" si="1"/>
        <v>0.5</v>
      </c>
      <c r="T66" s="298">
        <f>IF($L66='11 FORMULAS'!$D$51,$C$8-($C$8*$S$8),$C$8)</f>
        <v>0.36</v>
      </c>
      <c r="U66" s="298" t="str">
        <f>IF($L66='11 FORMULAS'!$D$53,$D$62-($D$62*$S$62),$D$62)</f>
        <v/>
      </c>
      <c r="V66" s="535"/>
      <c r="W66" s="538"/>
      <c r="X66" s="38"/>
      <c r="Y66" s="294"/>
      <c r="Z66" s="295"/>
      <c r="AA66" s="295"/>
    </row>
    <row r="67" spans="1:27" ht="29.45" hidden="1" customHeight="1" thickBot="1" x14ac:dyDescent="0.3">
      <c r="A67" s="521"/>
      <c r="B67" s="525"/>
      <c r="C67" s="496"/>
      <c r="D67" s="499"/>
      <c r="E67" s="361">
        <v>6</v>
      </c>
      <c r="F67" s="330"/>
      <c r="G67" s="209"/>
      <c r="H67" s="209"/>
      <c r="I67" s="285" t="str">
        <f t="shared" si="0"/>
        <v xml:space="preserve">  </v>
      </c>
      <c r="J67" s="208" t="s">
        <v>151</v>
      </c>
      <c r="K67" s="298">
        <f>+IFERROR(VLOOKUP($J67,'11 FORMULAS'!$B$51:$C$53,2,0),"")</f>
        <v>0.25</v>
      </c>
      <c r="L67" s="298" t="str">
        <f>+IFERROR(VLOOKUP($J67,'11 FORMULAS'!$B$51:$D$53,3,0),"")</f>
        <v>Probabilidad</v>
      </c>
      <c r="M67" s="358" t="s">
        <v>152</v>
      </c>
      <c r="N67" s="359">
        <f>+IFERROR(VLOOKUP($M67,'11 FORMULAS'!$B$54:$C$55,2,0),"")</f>
        <v>0.25</v>
      </c>
      <c r="O67" s="360" t="s">
        <v>164</v>
      </c>
      <c r="P67" s="360" t="s">
        <v>257</v>
      </c>
      <c r="Q67" s="360" t="s">
        <v>155</v>
      </c>
      <c r="R67" s="360" t="s">
        <v>265</v>
      </c>
      <c r="S67" s="298">
        <f t="shared" si="1"/>
        <v>0.5</v>
      </c>
      <c r="T67" s="298">
        <f>IF($L67='11 FORMULAS'!$D$51,$C$8-($C$8*$S$8),$C$8)</f>
        <v>0.36</v>
      </c>
      <c r="U67" s="298" t="str">
        <f>IF($L67='11 FORMULAS'!$D$53,$D$62-($D$62*$S$62),$D$62)</f>
        <v/>
      </c>
      <c r="V67" s="536"/>
      <c r="W67" s="539"/>
      <c r="X67" s="38"/>
    </row>
    <row r="68" spans="1:27" ht="29.45" hidden="1" customHeight="1" thickBot="1" x14ac:dyDescent="0.3">
      <c r="A68" s="518" t="str">
        <f>'2 CONTEXTO E IDENTIFICACIÓN'!A19</f>
        <v>R11</v>
      </c>
      <c r="B68" s="522" t="str">
        <f>+'2 CONTEXTO E IDENTIFICACIÓN'!J19</f>
        <v xml:space="preserve"> por a causa de </v>
      </c>
      <c r="C68" s="494" t="str">
        <f>+'3 PROBABIL E IMPACTO INHERENTE'!E19</f>
        <v/>
      </c>
      <c r="D68" s="497" t="str">
        <f>+'3 PROBABIL E IMPACTO INHERENTE'!M19</f>
        <v/>
      </c>
      <c r="E68" s="362">
        <v>1</v>
      </c>
      <c r="F68" s="328"/>
      <c r="G68" s="52"/>
      <c r="H68" s="52"/>
      <c r="I68" s="285" t="str">
        <f t="shared" si="0"/>
        <v xml:space="preserve">  </v>
      </c>
      <c r="J68" s="208" t="s">
        <v>151</v>
      </c>
      <c r="K68" s="298">
        <f>+IFERROR(VLOOKUP($J68,'11 FORMULAS'!$B$51:$C$53,2,0),"")</f>
        <v>0.25</v>
      </c>
      <c r="L68" s="298" t="str">
        <f>+IFERROR(VLOOKUP($J68,'11 FORMULAS'!$B$51:$D$53,3,0),"")</f>
        <v>Probabilidad</v>
      </c>
      <c r="M68" s="358" t="s">
        <v>152</v>
      </c>
      <c r="N68" s="359">
        <f>+IFERROR(VLOOKUP($M68,'11 FORMULAS'!$B$54:$C$55,2,0),"")</f>
        <v>0.25</v>
      </c>
      <c r="O68" s="360" t="s">
        <v>164</v>
      </c>
      <c r="P68" s="360" t="s">
        <v>257</v>
      </c>
      <c r="Q68" s="360" t="s">
        <v>155</v>
      </c>
      <c r="R68" s="360" t="s">
        <v>265</v>
      </c>
      <c r="S68" s="298">
        <f t="shared" si="1"/>
        <v>0.5</v>
      </c>
      <c r="T68" s="298">
        <f>IF($L68='11 FORMULAS'!$D$51,$C$8-($C$8*$S$8),$C$8)</f>
        <v>0.36</v>
      </c>
      <c r="U68" s="298" t="str">
        <f>IF($L68='11 FORMULAS'!$D$53,$D$68-($D$68*$S$68),$D$68)</f>
        <v/>
      </c>
      <c r="V68" s="534">
        <f>+IF(T73="","",T73)</f>
        <v>0.36</v>
      </c>
      <c r="W68" s="537" t="str">
        <f>+IF(U73="","",U73)</f>
        <v/>
      </c>
      <c r="X68" s="38"/>
      <c r="Y68" s="294"/>
      <c r="Z68" s="295"/>
      <c r="AA68" s="295"/>
    </row>
    <row r="69" spans="1:27" ht="29.45" hidden="1" customHeight="1" thickBot="1" x14ac:dyDescent="0.3">
      <c r="A69" s="519"/>
      <c r="B69" s="523"/>
      <c r="C69" s="526"/>
      <c r="D69" s="527"/>
      <c r="E69" s="357">
        <v>2</v>
      </c>
      <c r="F69" s="326"/>
      <c r="G69" s="323"/>
      <c r="H69" s="323"/>
      <c r="I69" s="285" t="str">
        <f t="shared" si="0"/>
        <v xml:space="preserve">  </v>
      </c>
      <c r="J69" s="208" t="s">
        <v>151</v>
      </c>
      <c r="K69" s="298">
        <f>+IFERROR(VLOOKUP($J69,'11 FORMULAS'!$B$51:$C$53,2,0),"")</f>
        <v>0.25</v>
      </c>
      <c r="L69" s="298" t="str">
        <f>+IFERROR(VLOOKUP($J69,'11 FORMULAS'!$B$51:$D$53,3,0),"")</f>
        <v>Probabilidad</v>
      </c>
      <c r="M69" s="358" t="s">
        <v>152</v>
      </c>
      <c r="N69" s="359">
        <f>+IFERROR(VLOOKUP($M69,'11 FORMULAS'!$B$54:$C$55,2,0),"")</f>
        <v>0.25</v>
      </c>
      <c r="O69" s="360" t="s">
        <v>164</v>
      </c>
      <c r="P69" s="360" t="s">
        <v>257</v>
      </c>
      <c r="Q69" s="360" t="s">
        <v>155</v>
      </c>
      <c r="R69" s="360" t="s">
        <v>265</v>
      </c>
      <c r="S69" s="298">
        <f t="shared" si="1"/>
        <v>0.5</v>
      </c>
      <c r="T69" s="298">
        <f>IF($L69='11 FORMULAS'!$D$51,$C$8-($C$8*$S$8),$C$8)</f>
        <v>0.36</v>
      </c>
      <c r="U69" s="298" t="str">
        <f>IF($L69='11 FORMULAS'!$D$53,$D$68-($D$68*$S$68),$D$68)</f>
        <v/>
      </c>
      <c r="V69" s="542"/>
      <c r="W69" s="543"/>
      <c r="X69" s="38"/>
      <c r="Y69" s="294"/>
      <c r="Z69" s="295"/>
      <c r="AA69" s="295"/>
    </row>
    <row r="70" spans="1:27" ht="29.45" hidden="1" customHeight="1" thickBot="1" x14ac:dyDescent="0.3">
      <c r="A70" s="519"/>
      <c r="B70" s="523"/>
      <c r="C70" s="526"/>
      <c r="D70" s="527"/>
      <c r="E70" s="357">
        <v>3</v>
      </c>
      <c r="F70" s="326"/>
      <c r="G70" s="323"/>
      <c r="H70" s="323"/>
      <c r="I70" s="285" t="str">
        <f t="shared" si="0"/>
        <v xml:space="preserve">  </v>
      </c>
      <c r="J70" s="208" t="s">
        <v>151</v>
      </c>
      <c r="K70" s="298">
        <f>+IFERROR(VLOOKUP($J70,'11 FORMULAS'!$B$51:$C$53,2,0),"")</f>
        <v>0.25</v>
      </c>
      <c r="L70" s="298" t="str">
        <f>+IFERROR(VLOOKUP($J70,'11 FORMULAS'!$B$51:$D$53,3,0),"")</f>
        <v>Probabilidad</v>
      </c>
      <c r="M70" s="358" t="s">
        <v>152</v>
      </c>
      <c r="N70" s="359">
        <f>+IFERROR(VLOOKUP($M70,'11 FORMULAS'!$B$54:$C$55,2,0),"")</f>
        <v>0.25</v>
      </c>
      <c r="O70" s="360" t="s">
        <v>164</v>
      </c>
      <c r="P70" s="360" t="s">
        <v>257</v>
      </c>
      <c r="Q70" s="360" t="s">
        <v>155</v>
      </c>
      <c r="R70" s="360" t="s">
        <v>265</v>
      </c>
      <c r="S70" s="298">
        <f t="shared" si="1"/>
        <v>0.5</v>
      </c>
      <c r="T70" s="298">
        <f>IF($L70='11 FORMULAS'!$D$51,$C$8-($C$8*$S$8),$C$8)</f>
        <v>0.36</v>
      </c>
      <c r="U70" s="298" t="str">
        <f>IF($L70='11 FORMULAS'!$D$53,$D$68-($D$68*$S$68),$D$68)</f>
        <v/>
      </c>
      <c r="V70" s="542"/>
      <c r="W70" s="543"/>
      <c r="X70" s="38"/>
      <c r="Y70" s="294"/>
      <c r="Z70" s="295"/>
      <c r="AA70" s="295"/>
    </row>
    <row r="71" spans="1:27" ht="29.45" hidden="1" customHeight="1" thickBot="1" x14ac:dyDescent="0.3">
      <c r="A71" s="520"/>
      <c r="B71" s="524"/>
      <c r="C71" s="495"/>
      <c r="D71" s="498"/>
      <c r="E71" s="357">
        <v>4</v>
      </c>
      <c r="F71" s="327"/>
      <c r="G71" s="208"/>
      <c r="H71" s="208"/>
      <c r="I71" s="285" t="str">
        <f t="shared" si="0"/>
        <v xml:space="preserve">  </v>
      </c>
      <c r="J71" s="208" t="s">
        <v>151</v>
      </c>
      <c r="K71" s="298">
        <f>+IFERROR(VLOOKUP($J71,'11 FORMULAS'!$B$51:$C$53,2,0),"")</f>
        <v>0.25</v>
      </c>
      <c r="L71" s="298" t="str">
        <f>+IFERROR(VLOOKUP($J71,'11 FORMULAS'!$B$51:$D$53,3,0),"")</f>
        <v>Probabilidad</v>
      </c>
      <c r="M71" s="358" t="s">
        <v>152</v>
      </c>
      <c r="N71" s="359">
        <f>+IFERROR(VLOOKUP($M71,'11 FORMULAS'!$B$54:$C$55,2,0),"")</f>
        <v>0.25</v>
      </c>
      <c r="O71" s="360" t="s">
        <v>164</v>
      </c>
      <c r="P71" s="360" t="s">
        <v>257</v>
      </c>
      <c r="Q71" s="360" t="s">
        <v>155</v>
      </c>
      <c r="R71" s="360" t="s">
        <v>265</v>
      </c>
      <c r="S71" s="298">
        <f t="shared" si="1"/>
        <v>0.5</v>
      </c>
      <c r="T71" s="298">
        <f>IF($L71='11 FORMULAS'!$D$51,$C$8-($C$8*$S$8),$C$8)</f>
        <v>0.36</v>
      </c>
      <c r="U71" s="298" t="str">
        <f>IF($L71='11 FORMULAS'!$D$53,$D$68-($D$68*$S$68),$D$68)</f>
        <v/>
      </c>
      <c r="V71" s="535"/>
      <c r="W71" s="538"/>
      <c r="X71" s="38"/>
      <c r="Y71" s="294"/>
      <c r="Z71" s="295"/>
      <c r="AA71" s="295"/>
    </row>
    <row r="72" spans="1:27" ht="29.45" hidden="1" customHeight="1" thickBot="1" x14ac:dyDescent="0.3">
      <c r="A72" s="520"/>
      <c r="B72" s="524"/>
      <c r="C72" s="495"/>
      <c r="D72" s="498"/>
      <c r="E72" s="357">
        <v>5</v>
      </c>
      <c r="F72" s="327"/>
      <c r="G72" s="208"/>
      <c r="H72" s="208"/>
      <c r="I72" s="285" t="str">
        <f t="shared" ref="I72:I127" si="2">+CONCATENATE(F72," ",G72," ",H72)</f>
        <v xml:space="preserve">  </v>
      </c>
      <c r="J72" s="208" t="s">
        <v>151</v>
      </c>
      <c r="K72" s="298">
        <f>+IFERROR(VLOOKUP($J72,'11 FORMULAS'!$B$51:$C$53,2,0),"")</f>
        <v>0.25</v>
      </c>
      <c r="L72" s="298" t="str">
        <f>+IFERROR(VLOOKUP($J72,'11 FORMULAS'!$B$51:$D$53,3,0),"")</f>
        <v>Probabilidad</v>
      </c>
      <c r="M72" s="358" t="s">
        <v>152</v>
      </c>
      <c r="N72" s="359">
        <f>+IFERROR(VLOOKUP($M72,'11 FORMULAS'!$B$54:$C$55,2,0),"")</f>
        <v>0.25</v>
      </c>
      <c r="O72" s="360" t="s">
        <v>164</v>
      </c>
      <c r="P72" s="360" t="s">
        <v>257</v>
      </c>
      <c r="Q72" s="360" t="s">
        <v>155</v>
      </c>
      <c r="R72" s="360" t="s">
        <v>265</v>
      </c>
      <c r="S72" s="298">
        <f t="shared" si="1"/>
        <v>0.5</v>
      </c>
      <c r="T72" s="298">
        <f>IF($L72='11 FORMULAS'!$D$51,$C$8-($C$8*$S$8),$C$8)</f>
        <v>0.36</v>
      </c>
      <c r="U72" s="298" t="str">
        <f>IF($L72='11 FORMULAS'!$D$53,$D$68-($D$68*$S$68),$D$68)</f>
        <v/>
      </c>
      <c r="V72" s="535"/>
      <c r="W72" s="538"/>
      <c r="X72" s="38"/>
      <c r="Y72" s="294"/>
      <c r="Z72" s="295"/>
      <c r="AA72" s="295"/>
    </row>
    <row r="73" spans="1:27" ht="29.45" hidden="1" customHeight="1" thickBot="1" x14ac:dyDescent="0.3">
      <c r="A73" s="521"/>
      <c r="B73" s="525"/>
      <c r="C73" s="496"/>
      <c r="D73" s="499"/>
      <c r="E73" s="361">
        <v>6</v>
      </c>
      <c r="F73" s="330"/>
      <c r="G73" s="209"/>
      <c r="H73" s="209"/>
      <c r="I73" s="285" t="str">
        <f t="shared" si="2"/>
        <v xml:space="preserve">  </v>
      </c>
      <c r="J73" s="208" t="s">
        <v>151</v>
      </c>
      <c r="K73" s="298">
        <f>+IFERROR(VLOOKUP($J73,'11 FORMULAS'!$B$51:$C$53,2,0),"")</f>
        <v>0.25</v>
      </c>
      <c r="L73" s="298" t="str">
        <f>+IFERROR(VLOOKUP($J73,'11 FORMULAS'!$B$51:$D$53,3,0),"")</f>
        <v>Probabilidad</v>
      </c>
      <c r="M73" s="358" t="s">
        <v>152</v>
      </c>
      <c r="N73" s="359">
        <f>+IFERROR(VLOOKUP($M73,'11 FORMULAS'!$B$54:$C$55,2,0),"")</f>
        <v>0.25</v>
      </c>
      <c r="O73" s="360" t="s">
        <v>164</v>
      </c>
      <c r="P73" s="360" t="s">
        <v>257</v>
      </c>
      <c r="Q73" s="360" t="s">
        <v>155</v>
      </c>
      <c r="R73" s="360" t="s">
        <v>265</v>
      </c>
      <c r="S73" s="298">
        <f t="shared" ref="S73:S127" si="3">+IFERROR($K73+$N73,"")</f>
        <v>0.5</v>
      </c>
      <c r="T73" s="298">
        <f>IF($L73='11 FORMULAS'!$D$51,$C$8-($C$8*$S$8),$C$8)</f>
        <v>0.36</v>
      </c>
      <c r="U73" s="298" t="str">
        <f>IF($L73='11 FORMULAS'!$D$53,$D$68-($D$68*$S$68),$D$68)</f>
        <v/>
      </c>
      <c r="V73" s="536"/>
      <c r="W73" s="539"/>
      <c r="X73" s="38"/>
    </row>
    <row r="74" spans="1:27" ht="29.45" hidden="1" customHeight="1" thickBot="1" x14ac:dyDescent="0.3">
      <c r="A74" s="518" t="str">
        <f>'2 CONTEXTO E IDENTIFICACIÓN'!A20</f>
        <v>R12</v>
      </c>
      <c r="B74" s="522" t="str">
        <f>+'2 CONTEXTO E IDENTIFICACIÓN'!J20</f>
        <v xml:space="preserve"> por a causa de </v>
      </c>
      <c r="C74" s="494" t="str">
        <f>+'3 PROBABIL E IMPACTO INHERENTE'!E20</f>
        <v/>
      </c>
      <c r="D74" s="497" t="str">
        <f>+'3 PROBABIL E IMPACTO INHERENTE'!M20</f>
        <v/>
      </c>
      <c r="E74" s="362">
        <v>1</v>
      </c>
      <c r="F74" s="328"/>
      <c r="G74" s="52"/>
      <c r="H74" s="52"/>
      <c r="I74" s="285" t="str">
        <f t="shared" si="2"/>
        <v xml:space="preserve">  </v>
      </c>
      <c r="J74" s="208" t="s">
        <v>151</v>
      </c>
      <c r="K74" s="298">
        <f>+IFERROR(VLOOKUP($J74,'11 FORMULAS'!$B$51:$C$53,2,0),"")</f>
        <v>0.25</v>
      </c>
      <c r="L74" s="298" t="str">
        <f>+IFERROR(VLOOKUP($J74,'11 FORMULAS'!$B$51:$D$53,3,0),"")</f>
        <v>Probabilidad</v>
      </c>
      <c r="M74" s="358" t="s">
        <v>152</v>
      </c>
      <c r="N74" s="359">
        <f>+IFERROR(VLOOKUP($M74,'11 FORMULAS'!$B$54:$C$55,2,0),"")</f>
        <v>0.25</v>
      </c>
      <c r="O74" s="360" t="s">
        <v>164</v>
      </c>
      <c r="P74" s="360" t="s">
        <v>257</v>
      </c>
      <c r="Q74" s="360" t="s">
        <v>155</v>
      </c>
      <c r="R74" s="360" t="s">
        <v>265</v>
      </c>
      <c r="S74" s="298">
        <f t="shared" si="3"/>
        <v>0.5</v>
      </c>
      <c r="T74" s="298">
        <f>IF($L74='11 FORMULAS'!$D$51,$C$8-($C$8*$S$8),$C$8)</f>
        <v>0.36</v>
      </c>
      <c r="U74" s="298" t="str">
        <f>IF($L74='11 FORMULAS'!$D$53,$D$74-($D$74*$S$74),$D$74)</f>
        <v/>
      </c>
      <c r="V74" s="534">
        <f>+IF(T79="","",T79)</f>
        <v>0.36</v>
      </c>
      <c r="W74" s="537" t="str">
        <f>+IF(U79="","",U79)</f>
        <v/>
      </c>
      <c r="X74" s="38"/>
      <c r="Y74" s="294"/>
      <c r="Z74" s="295"/>
      <c r="AA74" s="295"/>
    </row>
    <row r="75" spans="1:27" ht="29.45" hidden="1" customHeight="1" thickBot="1" x14ac:dyDescent="0.3">
      <c r="A75" s="520"/>
      <c r="B75" s="524"/>
      <c r="C75" s="495"/>
      <c r="D75" s="498"/>
      <c r="E75" s="357">
        <v>2</v>
      </c>
      <c r="F75" s="327"/>
      <c r="G75" s="208"/>
      <c r="H75" s="208"/>
      <c r="I75" s="285" t="str">
        <f t="shared" si="2"/>
        <v xml:space="preserve">  </v>
      </c>
      <c r="J75" s="208" t="s">
        <v>151</v>
      </c>
      <c r="K75" s="298">
        <f>+IFERROR(VLOOKUP($J75,'11 FORMULAS'!$B$51:$C$53,2,0),"")</f>
        <v>0.25</v>
      </c>
      <c r="L75" s="298" t="str">
        <f>+IFERROR(VLOOKUP($J75,'11 FORMULAS'!$B$51:$D$53,3,0),"")</f>
        <v>Probabilidad</v>
      </c>
      <c r="M75" s="358" t="s">
        <v>152</v>
      </c>
      <c r="N75" s="359">
        <f>+IFERROR(VLOOKUP($M75,'11 FORMULAS'!$B$54:$C$55,2,0),"")</f>
        <v>0.25</v>
      </c>
      <c r="O75" s="360" t="s">
        <v>164</v>
      </c>
      <c r="P75" s="360" t="s">
        <v>257</v>
      </c>
      <c r="Q75" s="360" t="s">
        <v>155</v>
      </c>
      <c r="R75" s="360" t="s">
        <v>265</v>
      </c>
      <c r="S75" s="298">
        <f t="shared" si="3"/>
        <v>0.5</v>
      </c>
      <c r="T75" s="298">
        <f>IF($L75='11 FORMULAS'!$D$51,$C$8-($C$8*$S$8),$C$8)</f>
        <v>0.36</v>
      </c>
      <c r="U75" s="298" t="str">
        <f>IF($L75='11 FORMULAS'!$D$53,$D$74-($D$74*$S$74),$D$74)</f>
        <v/>
      </c>
      <c r="V75" s="535"/>
      <c r="W75" s="538"/>
      <c r="X75" s="38"/>
      <c r="Y75" s="294"/>
      <c r="Z75" s="295"/>
      <c r="AA75" s="295"/>
    </row>
    <row r="76" spans="1:27" ht="29.45" hidden="1" customHeight="1" thickBot="1" x14ac:dyDescent="0.3">
      <c r="A76" s="520"/>
      <c r="B76" s="524"/>
      <c r="C76" s="495"/>
      <c r="D76" s="498"/>
      <c r="E76" s="357">
        <v>3</v>
      </c>
      <c r="F76" s="327"/>
      <c r="G76" s="208"/>
      <c r="H76" s="208"/>
      <c r="I76" s="285" t="str">
        <f t="shared" si="2"/>
        <v xml:space="preserve">  </v>
      </c>
      <c r="J76" s="208" t="s">
        <v>151</v>
      </c>
      <c r="K76" s="298">
        <f>+IFERROR(VLOOKUP($J76,'11 FORMULAS'!$B$51:$C$53,2,0),"")</f>
        <v>0.25</v>
      </c>
      <c r="L76" s="298" t="str">
        <f>+IFERROR(VLOOKUP($J76,'11 FORMULAS'!$B$51:$D$53,3,0),"")</f>
        <v>Probabilidad</v>
      </c>
      <c r="M76" s="358" t="s">
        <v>152</v>
      </c>
      <c r="N76" s="359">
        <f>+IFERROR(VLOOKUP($M76,'11 FORMULAS'!$B$54:$C$55,2,0),"")</f>
        <v>0.25</v>
      </c>
      <c r="O76" s="360" t="s">
        <v>164</v>
      </c>
      <c r="P76" s="360" t="s">
        <v>257</v>
      </c>
      <c r="Q76" s="360" t="s">
        <v>155</v>
      </c>
      <c r="R76" s="360" t="s">
        <v>265</v>
      </c>
      <c r="S76" s="298">
        <f t="shared" si="3"/>
        <v>0.5</v>
      </c>
      <c r="T76" s="298">
        <f>IF($L76='11 FORMULAS'!$D$51,$C$8-($C$8*$S$8),$C$8)</f>
        <v>0.36</v>
      </c>
      <c r="U76" s="298" t="str">
        <f>IF($L76='11 FORMULAS'!$D$53,$D$74-($D$74*$S$74),$D$74)</f>
        <v/>
      </c>
      <c r="V76" s="535"/>
      <c r="W76" s="538"/>
      <c r="X76" s="38"/>
      <c r="Y76" s="294"/>
      <c r="Z76" s="295"/>
      <c r="AA76" s="295"/>
    </row>
    <row r="77" spans="1:27" ht="29.45" hidden="1" customHeight="1" thickBot="1" x14ac:dyDescent="0.3">
      <c r="A77" s="520"/>
      <c r="B77" s="524"/>
      <c r="C77" s="495"/>
      <c r="D77" s="498"/>
      <c r="E77" s="357">
        <v>4</v>
      </c>
      <c r="F77" s="327"/>
      <c r="G77" s="208"/>
      <c r="H77" s="208"/>
      <c r="I77" s="285" t="str">
        <f t="shared" si="2"/>
        <v xml:space="preserve">  </v>
      </c>
      <c r="J77" s="208" t="s">
        <v>151</v>
      </c>
      <c r="K77" s="298">
        <f>+IFERROR(VLOOKUP($J77,'11 FORMULAS'!$B$51:$C$53,2,0),"")</f>
        <v>0.25</v>
      </c>
      <c r="L77" s="298" t="str">
        <f>+IFERROR(VLOOKUP($J77,'11 FORMULAS'!$B$51:$D$53,3,0),"")</f>
        <v>Probabilidad</v>
      </c>
      <c r="M77" s="358" t="s">
        <v>152</v>
      </c>
      <c r="N77" s="359">
        <f>+IFERROR(VLOOKUP($M77,'11 FORMULAS'!$B$54:$C$55,2,0),"")</f>
        <v>0.25</v>
      </c>
      <c r="O77" s="360" t="s">
        <v>164</v>
      </c>
      <c r="P77" s="360" t="s">
        <v>257</v>
      </c>
      <c r="Q77" s="360" t="s">
        <v>155</v>
      </c>
      <c r="R77" s="360" t="s">
        <v>265</v>
      </c>
      <c r="S77" s="298">
        <f t="shared" si="3"/>
        <v>0.5</v>
      </c>
      <c r="T77" s="298">
        <f>IF($L77='11 FORMULAS'!$D$51,$C$8-($C$8*$S$8),$C$8)</f>
        <v>0.36</v>
      </c>
      <c r="U77" s="298" t="str">
        <f>IF($L77='11 FORMULAS'!$D$53,$D$74-($D$74*$S$74),$D$74)</f>
        <v/>
      </c>
      <c r="V77" s="535"/>
      <c r="W77" s="538"/>
      <c r="X77" s="38"/>
      <c r="Y77" s="294"/>
      <c r="Z77" s="295"/>
      <c r="AA77" s="295"/>
    </row>
    <row r="78" spans="1:27" ht="29.45" hidden="1" customHeight="1" thickBot="1" x14ac:dyDescent="0.3">
      <c r="A78" s="520"/>
      <c r="B78" s="524"/>
      <c r="C78" s="495"/>
      <c r="D78" s="498"/>
      <c r="E78" s="357">
        <v>5</v>
      </c>
      <c r="F78" s="327"/>
      <c r="G78" s="208"/>
      <c r="H78" s="208"/>
      <c r="I78" s="285" t="str">
        <f t="shared" si="2"/>
        <v xml:space="preserve">  </v>
      </c>
      <c r="J78" s="208" t="s">
        <v>151</v>
      </c>
      <c r="K78" s="298">
        <f>+IFERROR(VLOOKUP($J78,'11 FORMULAS'!$B$51:$C$53,2,0),"")</f>
        <v>0.25</v>
      </c>
      <c r="L78" s="298" t="str">
        <f>+IFERROR(VLOOKUP($J78,'11 FORMULAS'!$B$51:$D$53,3,0),"")</f>
        <v>Probabilidad</v>
      </c>
      <c r="M78" s="358" t="s">
        <v>152</v>
      </c>
      <c r="N78" s="359">
        <f>+IFERROR(VLOOKUP($M78,'11 FORMULAS'!$B$54:$C$55,2,0),"")</f>
        <v>0.25</v>
      </c>
      <c r="O78" s="360" t="s">
        <v>164</v>
      </c>
      <c r="P78" s="360" t="s">
        <v>257</v>
      </c>
      <c r="Q78" s="360" t="s">
        <v>155</v>
      </c>
      <c r="R78" s="360" t="s">
        <v>265</v>
      </c>
      <c r="S78" s="298">
        <f t="shared" si="3"/>
        <v>0.5</v>
      </c>
      <c r="T78" s="298">
        <f>IF($L78='11 FORMULAS'!$D$51,$C$8-($C$8*$S$8),$C$8)</f>
        <v>0.36</v>
      </c>
      <c r="U78" s="298" t="str">
        <f>IF($L78='11 FORMULAS'!$D$53,$D$74-($D$74*$S$74),$D$74)</f>
        <v/>
      </c>
      <c r="V78" s="535"/>
      <c r="W78" s="538"/>
      <c r="X78" s="38"/>
      <c r="Y78" s="294"/>
      <c r="Z78" s="295"/>
      <c r="AA78" s="295"/>
    </row>
    <row r="79" spans="1:27" ht="29.45" hidden="1" customHeight="1" thickBot="1" x14ac:dyDescent="0.3">
      <c r="A79" s="521"/>
      <c r="B79" s="525"/>
      <c r="C79" s="496"/>
      <c r="D79" s="499"/>
      <c r="E79" s="361">
        <v>6</v>
      </c>
      <c r="F79" s="330"/>
      <c r="G79" s="209"/>
      <c r="H79" s="209"/>
      <c r="I79" s="285" t="str">
        <f t="shared" si="2"/>
        <v xml:space="preserve">  </v>
      </c>
      <c r="J79" s="208" t="s">
        <v>151</v>
      </c>
      <c r="K79" s="298">
        <f>+IFERROR(VLOOKUP($J79,'11 FORMULAS'!$B$51:$C$53,2,0),"")</f>
        <v>0.25</v>
      </c>
      <c r="L79" s="298" t="str">
        <f>+IFERROR(VLOOKUP($J79,'11 FORMULAS'!$B$51:$D$53,3,0),"")</f>
        <v>Probabilidad</v>
      </c>
      <c r="M79" s="358" t="s">
        <v>152</v>
      </c>
      <c r="N79" s="359">
        <f>+IFERROR(VLOOKUP($M79,'11 FORMULAS'!$B$54:$C$55,2,0),"")</f>
        <v>0.25</v>
      </c>
      <c r="O79" s="360" t="s">
        <v>164</v>
      </c>
      <c r="P79" s="360" t="s">
        <v>257</v>
      </c>
      <c r="Q79" s="360" t="s">
        <v>155</v>
      </c>
      <c r="R79" s="360" t="s">
        <v>265</v>
      </c>
      <c r="S79" s="298">
        <f t="shared" si="3"/>
        <v>0.5</v>
      </c>
      <c r="T79" s="298">
        <f>IF($L79='11 FORMULAS'!$D$51,$C$8-($C$8*$S$8),$C$8)</f>
        <v>0.36</v>
      </c>
      <c r="U79" s="298" t="str">
        <f>IF($L79='11 FORMULAS'!$D$53,$D$74-($D$74*$S$74),$D$74)</f>
        <v/>
      </c>
      <c r="V79" s="536"/>
      <c r="W79" s="539"/>
      <c r="X79" s="38"/>
    </row>
    <row r="80" spans="1:27" ht="29.45" hidden="1" customHeight="1" thickBot="1" x14ac:dyDescent="0.3">
      <c r="A80" s="518" t="str">
        <f>'2 CONTEXTO E IDENTIFICACIÓN'!A21</f>
        <v>R13</v>
      </c>
      <c r="B80" s="522" t="str">
        <f>+'2 CONTEXTO E IDENTIFICACIÓN'!J21</f>
        <v xml:space="preserve"> por a causa de </v>
      </c>
      <c r="C80" s="494" t="str">
        <f>+'3 PROBABIL E IMPACTO INHERENTE'!E21</f>
        <v/>
      </c>
      <c r="D80" s="497" t="str">
        <f>+'3 PROBABIL E IMPACTO INHERENTE'!M21</f>
        <v/>
      </c>
      <c r="E80" s="362">
        <v>1</v>
      </c>
      <c r="F80" s="328"/>
      <c r="G80" s="52"/>
      <c r="H80" s="52"/>
      <c r="I80" s="285" t="str">
        <f t="shared" si="2"/>
        <v xml:space="preserve">  </v>
      </c>
      <c r="J80" s="208" t="s">
        <v>151</v>
      </c>
      <c r="K80" s="298">
        <f>+IFERROR(VLOOKUP($J80,'11 FORMULAS'!$B$51:$C$53,2,0),"")</f>
        <v>0.25</v>
      </c>
      <c r="L80" s="298" t="str">
        <f>+IFERROR(VLOOKUP($J80,'11 FORMULAS'!$B$51:$D$53,3,0),"")</f>
        <v>Probabilidad</v>
      </c>
      <c r="M80" s="358" t="s">
        <v>152</v>
      </c>
      <c r="N80" s="359">
        <f>+IFERROR(VLOOKUP($M80,'11 FORMULAS'!$B$54:$C$55,2,0),"")</f>
        <v>0.25</v>
      </c>
      <c r="O80" s="360" t="s">
        <v>164</v>
      </c>
      <c r="P80" s="360" t="s">
        <v>257</v>
      </c>
      <c r="Q80" s="360" t="s">
        <v>155</v>
      </c>
      <c r="R80" s="360" t="s">
        <v>265</v>
      </c>
      <c r="S80" s="298">
        <f t="shared" si="3"/>
        <v>0.5</v>
      </c>
      <c r="T80" s="298">
        <f>IF($L80='11 FORMULAS'!$D$51,$C$8-($C$8*$S$8),$C$8)</f>
        <v>0.36</v>
      </c>
      <c r="U80" s="298" t="str">
        <f>IF($L80='11 FORMULAS'!$D$53,$D$80-($D$80*$S$80),$D$80)</f>
        <v/>
      </c>
      <c r="V80" s="534">
        <f>+IF(T85="","",T85)</f>
        <v>0.36</v>
      </c>
      <c r="W80" s="537" t="str">
        <f>+IF(U85="","",U85)</f>
        <v/>
      </c>
      <c r="X80" s="38"/>
      <c r="Y80" s="294"/>
      <c r="Z80" s="295"/>
      <c r="AA80" s="295"/>
    </row>
    <row r="81" spans="1:27" ht="29.45" hidden="1" customHeight="1" thickBot="1" x14ac:dyDescent="0.3">
      <c r="A81" s="520"/>
      <c r="B81" s="524"/>
      <c r="C81" s="495"/>
      <c r="D81" s="498"/>
      <c r="E81" s="357">
        <v>2</v>
      </c>
      <c r="F81" s="327"/>
      <c r="G81" s="208"/>
      <c r="H81" s="208"/>
      <c r="I81" s="285" t="str">
        <f t="shared" si="2"/>
        <v xml:space="preserve">  </v>
      </c>
      <c r="J81" s="208" t="s">
        <v>151</v>
      </c>
      <c r="K81" s="298">
        <f>+IFERROR(VLOOKUP($J81,'11 FORMULAS'!$B$51:$C$53,2,0),"")</f>
        <v>0.25</v>
      </c>
      <c r="L81" s="298" t="str">
        <f>+IFERROR(VLOOKUP($J81,'11 FORMULAS'!$B$51:$D$53,3,0),"")</f>
        <v>Probabilidad</v>
      </c>
      <c r="M81" s="358" t="s">
        <v>152</v>
      </c>
      <c r="N81" s="359">
        <f>+IFERROR(VLOOKUP($M81,'11 FORMULAS'!$B$54:$C$55,2,0),"")</f>
        <v>0.25</v>
      </c>
      <c r="O81" s="360" t="s">
        <v>164</v>
      </c>
      <c r="P81" s="360" t="s">
        <v>257</v>
      </c>
      <c r="Q81" s="360" t="s">
        <v>155</v>
      </c>
      <c r="R81" s="360" t="s">
        <v>265</v>
      </c>
      <c r="S81" s="298">
        <f t="shared" si="3"/>
        <v>0.5</v>
      </c>
      <c r="T81" s="298">
        <f>IF($L81='11 FORMULAS'!$D$51,$C$8-($C$8*$S$8),$C$8)</f>
        <v>0.36</v>
      </c>
      <c r="U81" s="298" t="str">
        <f>IF($L81='11 FORMULAS'!$D$53,$D$80-($D$80*$S$80),$D$80)</f>
        <v/>
      </c>
      <c r="V81" s="535"/>
      <c r="W81" s="538"/>
      <c r="X81" s="38"/>
      <c r="Y81" s="294"/>
      <c r="Z81" s="295"/>
      <c r="AA81" s="295"/>
    </row>
    <row r="82" spans="1:27" ht="29.45" hidden="1" customHeight="1" thickBot="1" x14ac:dyDescent="0.3">
      <c r="A82" s="520"/>
      <c r="B82" s="524"/>
      <c r="C82" s="495"/>
      <c r="D82" s="498"/>
      <c r="E82" s="357">
        <v>3</v>
      </c>
      <c r="F82" s="327"/>
      <c r="G82" s="208"/>
      <c r="H82" s="208"/>
      <c r="I82" s="285" t="str">
        <f t="shared" si="2"/>
        <v xml:space="preserve">  </v>
      </c>
      <c r="J82" s="208" t="s">
        <v>151</v>
      </c>
      <c r="K82" s="298">
        <f>+IFERROR(VLOOKUP($J82,'11 FORMULAS'!$B$51:$C$53,2,0),"")</f>
        <v>0.25</v>
      </c>
      <c r="L82" s="298" t="str">
        <f>+IFERROR(VLOOKUP($J82,'11 FORMULAS'!$B$51:$D$53,3,0),"")</f>
        <v>Probabilidad</v>
      </c>
      <c r="M82" s="358" t="s">
        <v>152</v>
      </c>
      <c r="N82" s="359">
        <f>+IFERROR(VLOOKUP($M82,'11 FORMULAS'!$B$54:$C$55,2,0),"")</f>
        <v>0.25</v>
      </c>
      <c r="O82" s="360" t="s">
        <v>164</v>
      </c>
      <c r="P82" s="360" t="s">
        <v>257</v>
      </c>
      <c r="Q82" s="360" t="s">
        <v>155</v>
      </c>
      <c r="R82" s="360" t="s">
        <v>265</v>
      </c>
      <c r="S82" s="298">
        <f t="shared" si="3"/>
        <v>0.5</v>
      </c>
      <c r="T82" s="298">
        <f>IF($L82='11 FORMULAS'!$D$51,$C$8-($C$8*$S$8),$C$8)</f>
        <v>0.36</v>
      </c>
      <c r="U82" s="298" t="str">
        <f>IF($L82='11 FORMULAS'!$D$53,$D$80-($D$80*$S$80),$D$80)</f>
        <v/>
      </c>
      <c r="V82" s="535"/>
      <c r="W82" s="538"/>
      <c r="X82" s="38"/>
      <c r="Y82" s="294"/>
      <c r="Z82" s="295"/>
      <c r="AA82" s="295"/>
    </row>
    <row r="83" spans="1:27" ht="29.45" hidden="1" customHeight="1" thickBot="1" x14ac:dyDescent="0.3">
      <c r="A83" s="520"/>
      <c r="B83" s="524"/>
      <c r="C83" s="495"/>
      <c r="D83" s="498"/>
      <c r="E83" s="357">
        <v>4</v>
      </c>
      <c r="F83" s="327"/>
      <c r="G83" s="208"/>
      <c r="H83" s="208"/>
      <c r="I83" s="285" t="str">
        <f t="shared" si="2"/>
        <v xml:space="preserve">  </v>
      </c>
      <c r="J83" s="208" t="s">
        <v>151</v>
      </c>
      <c r="K83" s="298">
        <f>+IFERROR(VLOOKUP($J83,'11 FORMULAS'!$B$51:$C$53,2,0),"")</f>
        <v>0.25</v>
      </c>
      <c r="L83" s="298" t="str">
        <f>+IFERROR(VLOOKUP($J83,'11 FORMULAS'!$B$51:$D$53,3,0),"")</f>
        <v>Probabilidad</v>
      </c>
      <c r="M83" s="358" t="s">
        <v>152</v>
      </c>
      <c r="N83" s="359">
        <f>+IFERROR(VLOOKUP($M83,'11 FORMULAS'!$B$54:$C$55,2,0),"")</f>
        <v>0.25</v>
      </c>
      <c r="O83" s="360" t="s">
        <v>164</v>
      </c>
      <c r="P83" s="360" t="s">
        <v>257</v>
      </c>
      <c r="Q83" s="360" t="s">
        <v>155</v>
      </c>
      <c r="R83" s="360" t="s">
        <v>265</v>
      </c>
      <c r="S83" s="298">
        <f t="shared" si="3"/>
        <v>0.5</v>
      </c>
      <c r="T83" s="298">
        <f>IF($L83='11 FORMULAS'!$D$51,$C$8-($C$8*$S$8),$C$8)</f>
        <v>0.36</v>
      </c>
      <c r="U83" s="298" t="str">
        <f>IF($L83='11 FORMULAS'!$D$53,$D$80-($D$80*$S$80),$D$80)</f>
        <v/>
      </c>
      <c r="V83" s="535"/>
      <c r="W83" s="538"/>
      <c r="X83" s="38"/>
      <c r="Y83" s="294"/>
      <c r="Z83" s="295"/>
      <c r="AA83" s="295"/>
    </row>
    <row r="84" spans="1:27" ht="29.45" hidden="1" customHeight="1" thickBot="1" x14ac:dyDescent="0.3">
      <c r="A84" s="520"/>
      <c r="B84" s="524"/>
      <c r="C84" s="495"/>
      <c r="D84" s="498"/>
      <c r="E84" s="357">
        <v>5</v>
      </c>
      <c r="F84" s="327"/>
      <c r="G84" s="208"/>
      <c r="H84" s="208"/>
      <c r="I84" s="285" t="str">
        <f t="shared" si="2"/>
        <v xml:space="preserve">  </v>
      </c>
      <c r="J84" s="208" t="s">
        <v>151</v>
      </c>
      <c r="K84" s="298">
        <f>+IFERROR(VLOOKUP($J84,'11 FORMULAS'!$B$51:$C$53,2,0),"")</f>
        <v>0.25</v>
      </c>
      <c r="L84" s="298" t="str">
        <f>+IFERROR(VLOOKUP($J84,'11 FORMULAS'!$B$51:$D$53,3,0),"")</f>
        <v>Probabilidad</v>
      </c>
      <c r="M84" s="358" t="s">
        <v>152</v>
      </c>
      <c r="N84" s="359">
        <f>+IFERROR(VLOOKUP($M84,'11 FORMULAS'!$B$54:$C$55,2,0),"")</f>
        <v>0.25</v>
      </c>
      <c r="O84" s="360" t="s">
        <v>164</v>
      </c>
      <c r="P84" s="360" t="s">
        <v>257</v>
      </c>
      <c r="Q84" s="360" t="s">
        <v>155</v>
      </c>
      <c r="R84" s="360" t="s">
        <v>265</v>
      </c>
      <c r="S84" s="298">
        <f t="shared" si="3"/>
        <v>0.5</v>
      </c>
      <c r="T84" s="298">
        <f>IF($L84='11 FORMULAS'!$D$51,$C$8-($C$8*$S$8),$C$8)</f>
        <v>0.36</v>
      </c>
      <c r="U84" s="298" t="str">
        <f>IF($L84='11 FORMULAS'!$D$53,$D$80-($D$80*$S$80),$D$80)</f>
        <v/>
      </c>
      <c r="V84" s="535"/>
      <c r="W84" s="538"/>
      <c r="X84" s="38"/>
      <c r="Y84" s="294"/>
      <c r="Z84" s="295"/>
      <c r="AA84" s="295"/>
    </row>
    <row r="85" spans="1:27" ht="29.45" hidden="1" customHeight="1" thickBot="1" x14ac:dyDescent="0.3">
      <c r="A85" s="521"/>
      <c r="B85" s="525"/>
      <c r="C85" s="496"/>
      <c r="D85" s="499"/>
      <c r="E85" s="361">
        <v>6</v>
      </c>
      <c r="F85" s="330"/>
      <c r="G85" s="209"/>
      <c r="H85" s="209"/>
      <c r="I85" s="285" t="str">
        <f t="shared" si="2"/>
        <v xml:space="preserve">  </v>
      </c>
      <c r="J85" s="208" t="s">
        <v>151</v>
      </c>
      <c r="K85" s="298">
        <f>+IFERROR(VLOOKUP($J85,'11 FORMULAS'!$B$51:$C$53,2,0),"")</f>
        <v>0.25</v>
      </c>
      <c r="L85" s="298" t="str">
        <f>+IFERROR(VLOOKUP($J85,'11 FORMULAS'!$B$51:$D$53,3,0),"")</f>
        <v>Probabilidad</v>
      </c>
      <c r="M85" s="358" t="s">
        <v>152</v>
      </c>
      <c r="N85" s="359">
        <f>+IFERROR(VLOOKUP($M85,'11 FORMULAS'!$B$54:$C$55,2,0),"")</f>
        <v>0.25</v>
      </c>
      <c r="O85" s="360" t="s">
        <v>164</v>
      </c>
      <c r="P85" s="360" t="s">
        <v>257</v>
      </c>
      <c r="Q85" s="360" t="s">
        <v>155</v>
      </c>
      <c r="R85" s="360" t="s">
        <v>265</v>
      </c>
      <c r="S85" s="298">
        <f t="shared" si="3"/>
        <v>0.5</v>
      </c>
      <c r="T85" s="298">
        <f>IF($L85='11 FORMULAS'!$D$51,$C$8-($C$8*$S$8),$C$8)</f>
        <v>0.36</v>
      </c>
      <c r="U85" s="298" t="str">
        <f>IF($L85='11 FORMULAS'!$D$53,$D$80-($D$80*$S$80),$D$80)</f>
        <v/>
      </c>
      <c r="V85" s="536"/>
      <c r="W85" s="539"/>
      <c r="X85" s="38"/>
    </row>
    <row r="86" spans="1:27" ht="29.45" hidden="1" customHeight="1" thickBot="1" x14ac:dyDescent="0.3">
      <c r="A86" s="518" t="str">
        <f>'2 CONTEXTO E IDENTIFICACIÓN'!A22</f>
        <v>R14</v>
      </c>
      <c r="B86" s="522" t="str">
        <f>+'2 CONTEXTO E IDENTIFICACIÓN'!J22</f>
        <v xml:space="preserve"> por a causa de </v>
      </c>
      <c r="C86" s="494" t="str">
        <f>+'3 PROBABIL E IMPACTO INHERENTE'!E22</f>
        <v/>
      </c>
      <c r="D86" s="497" t="str">
        <f>+'3 PROBABIL E IMPACTO INHERENTE'!M22</f>
        <v/>
      </c>
      <c r="E86" s="362">
        <v>1</v>
      </c>
      <c r="F86" s="328"/>
      <c r="G86" s="52"/>
      <c r="H86" s="52"/>
      <c r="I86" s="285" t="str">
        <f t="shared" si="2"/>
        <v xml:space="preserve">  </v>
      </c>
      <c r="J86" s="208" t="s">
        <v>151</v>
      </c>
      <c r="K86" s="298">
        <f>+IFERROR(VLOOKUP($J86,'11 FORMULAS'!$B$51:$C$53,2,0),"")</f>
        <v>0.25</v>
      </c>
      <c r="L86" s="298" t="str">
        <f>+IFERROR(VLOOKUP($J86,'11 FORMULAS'!$B$51:$D$53,3,0),"")</f>
        <v>Probabilidad</v>
      </c>
      <c r="M86" s="358" t="s">
        <v>152</v>
      </c>
      <c r="N86" s="359">
        <f>+IFERROR(VLOOKUP($M86,'11 FORMULAS'!$B$54:$C$55,2,0),"")</f>
        <v>0.25</v>
      </c>
      <c r="O86" s="360" t="s">
        <v>164</v>
      </c>
      <c r="P86" s="360" t="s">
        <v>257</v>
      </c>
      <c r="Q86" s="360" t="s">
        <v>155</v>
      </c>
      <c r="R86" s="360" t="s">
        <v>265</v>
      </c>
      <c r="S86" s="298">
        <f t="shared" si="3"/>
        <v>0.5</v>
      </c>
      <c r="T86" s="298">
        <f>IF($L86='11 FORMULAS'!$D$51,$C$8-($C$8*$S$8),$C$8)</f>
        <v>0.36</v>
      </c>
      <c r="U86" s="298" t="str">
        <f>IF($L86='11 FORMULAS'!$D$53,$D$86-($D$86*$S$86),$D$86)</f>
        <v/>
      </c>
      <c r="V86" s="534">
        <f>+IF(T91="","",T91)</f>
        <v>0.36</v>
      </c>
      <c r="W86" s="537" t="str">
        <f>+IF(U91="","",U91)</f>
        <v/>
      </c>
      <c r="X86" s="38"/>
      <c r="Y86" s="294"/>
      <c r="Z86" s="295"/>
      <c r="AA86" s="295"/>
    </row>
    <row r="87" spans="1:27" ht="29.45" hidden="1" customHeight="1" thickBot="1" x14ac:dyDescent="0.3">
      <c r="A87" s="520"/>
      <c r="B87" s="524"/>
      <c r="C87" s="495"/>
      <c r="D87" s="498"/>
      <c r="E87" s="357">
        <v>2</v>
      </c>
      <c r="F87" s="327"/>
      <c r="G87" s="208"/>
      <c r="H87" s="208"/>
      <c r="I87" s="285" t="str">
        <f t="shared" si="2"/>
        <v xml:space="preserve">  </v>
      </c>
      <c r="J87" s="208" t="s">
        <v>151</v>
      </c>
      <c r="K87" s="298">
        <f>+IFERROR(VLOOKUP($J87,'11 FORMULAS'!$B$51:$C$53,2,0),"")</f>
        <v>0.25</v>
      </c>
      <c r="L87" s="298" t="str">
        <f>+IFERROR(VLOOKUP($J87,'11 FORMULAS'!$B$51:$D$53,3,0),"")</f>
        <v>Probabilidad</v>
      </c>
      <c r="M87" s="358" t="s">
        <v>152</v>
      </c>
      <c r="N87" s="359">
        <f>+IFERROR(VLOOKUP($M87,'11 FORMULAS'!$B$54:$C$55,2,0),"")</f>
        <v>0.25</v>
      </c>
      <c r="O87" s="360" t="s">
        <v>164</v>
      </c>
      <c r="P87" s="360" t="s">
        <v>257</v>
      </c>
      <c r="Q87" s="360" t="s">
        <v>155</v>
      </c>
      <c r="R87" s="360" t="s">
        <v>265</v>
      </c>
      <c r="S87" s="298">
        <f t="shared" si="3"/>
        <v>0.5</v>
      </c>
      <c r="T87" s="298">
        <f>IF($L87='11 FORMULAS'!$D$51,$C$8-($C$8*$S$8),$C$8)</f>
        <v>0.36</v>
      </c>
      <c r="U87" s="298" t="str">
        <f>IF($L87='11 FORMULAS'!$D$53,$D$86-($D$86*$S$86),$D$86)</f>
        <v/>
      </c>
      <c r="V87" s="535"/>
      <c r="W87" s="538"/>
      <c r="X87" s="38"/>
      <c r="Y87" s="294"/>
      <c r="Z87" s="295"/>
      <c r="AA87" s="295"/>
    </row>
    <row r="88" spans="1:27" ht="29.45" hidden="1" customHeight="1" thickBot="1" x14ac:dyDescent="0.3">
      <c r="A88" s="520"/>
      <c r="B88" s="524"/>
      <c r="C88" s="495"/>
      <c r="D88" s="498"/>
      <c r="E88" s="357">
        <v>3</v>
      </c>
      <c r="F88" s="327"/>
      <c r="G88" s="208"/>
      <c r="H88" s="208"/>
      <c r="I88" s="285" t="str">
        <f t="shared" si="2"/>
        <v xml:space="preserve">  </v>
      </c>
      <c r="J88" s="208" t="s">
        <v>151</v>
      </c>
      <c r="K88" s="298">
        <f>+IFERROR(VLOOKUP($J88,'11 FORMULAS'!$B$51:$C$53,2,0),"")</f>
        <v>0.25</v>
      </c>
      <c r="L88" s="298" t="str">
        <f>+IFERROR(VLOOKUP($J88,'11 FORMULAS'!$B$51:$D$53,3,0),"")</f>
        <v>Probabilidad</v>
      </c>
      <c r="M88" s="358" t="s">
        <v>163</v>
      </c>
      <c r="N88" s="359">
        <f>+IFERROR(VLOOKUP($M88,'11 FORMULAS'!$B$54:$C$55,2,0),"")</f>
        <v>0.15</v>
      </c>
      <c r="O88" s="360" t="s">
        <v>164</v>
      </c>
      <c r="P88" s="360" t="s">
        <v>259</v>
      </c>
      <c r="Q88" s="360" t="s">
        <v>166</v>
      </c>
      <c r="R88" s="360" t="s">
        <v>175</v>
      </c>
      <c r="S88" s="298">
        <f t="shared" si="3"/>
        <v>0.4</v>
      </c>
      <c r="T88" s="298">
        <f>IF($L88='11 FORMULAS'!$D$51,$C$8-($C$8*$S$8),$C$8)</f>
        <v>0.36</v>
      </c>
      <c r="U88" s="298" t="str">
        <f>IF($L88='11 FORMULAS'!$D$53,$D$86-($D$86*$S$86),$D$86)</f>
        <v/>
      </c>
      <c r="V88" s="535"/>
      <c r="W88" s="538"/>
      <c r="X88" s="38"/>
      <c r="Y88" s="294"/>
      <c r="Z88" s="295"/>
      <c r="AA88" s="295"/>
    </row>
    <row r="89" spans="1:27" ht="29.45" hidden="1" customHeight="1" thickBot="1" x14ac:dyDescent="0.3">
      <c r="A89" s="520"/>
      <c r="B89" s="524"/>
      <c r="C89" s="495"/>
      <c r="D89" s="498"/>
      <c r="E89" s="357">
        <v>4</v>
      </c>
      <c r="F89" s="327"/>
      <c r="G89" s="208"/>
      <c r="H89" s="208"/>
      <c r="I89" s="285" t="str">
        <f t="shared" si="2"/>
        <v xml:space="preserve">  </v>
      </c>
      <c r="J89" s="208" t="s">
        <v>151</v>
      </c>
      <c r="K89" s="298">
        <f>+IFERROR(VLOOKUP($J89,'11 FORMULAS'!$B$51:$C$53,2,0),"")</f>
        <v>0.25</v>
      </c>
      <c r="L89" s="298" t="str">
        <f>+IFERROR(VLOOKUP($J89,'11 FORMULAS'!$B$51:$D$53,3,0),"")</f>
        <v>Probabilidad</v>
      </c>
      <c r="M89" s="358" t="s">
        <v>152</v>
      </c>
      <c r="N89" s="359">
        <f>+IFERROR(VLOOKUP($M89,'11 FORMULAS'!$B$54:$C$55,2,0),"")</f>
        <v>0.25</v>
      </c>
      <c r="O89" s="360" t="s">
        <v>164</v>
      </c>
      <c r="P89" s="360" t="s">
        <v>257</v>
      </c>
      <c r="Q89" s="360" t="s">
        <v>155</v>
      </c>
      <c r="R89" s="360" t="s">
        <v>265</v>
      </c>
      <c r="S89" s="298">
        <f t="shared" si="3"/>
        <v>0.5</v>
      </c>
      <c r="T89" s="298">
        <f>IF($L89='11 FORMULAS'!$D$51,$C$8-($C$8*$S$8),$C$8)</f>
        <v>0.36</v>
      </c>
      <c r="U89" s="298" t="str">
        <f>IF($L89='11 FORMULAS'!$D$53,$D$86-($D$86*$S$86),$D$86)</f>
        <v/>
      </c>
      <c r="V89" s="535"/>
      <c r="W89" s="538"/>
      <c r="X89" s="38"/>
      <c r="Y89" s="294"/>
      <c r="Z89" s="295"/>
      <c r="AA89" s="295"/>
    </row>
    <row r="90" spans="1:27" ht="29.45" hidden="1" customHeight="1" thickBot="1" x14ac:dyDescent="0.3">
      <c r="A90" s="520"/>
      <c r="B90" s="524"/>
      <c r="C90" s="495"/>
      <c r="D90" s="498"/>
      <c r="E90" s="357">
        <v>5</v>
      </c>
      <c r="F90" s="327"/>
      <c r="G90" s="208"/>
      <c r="H90" s="208"/>
      <c r="I90" s="285" t="str">
        <f t="shared" si="2"/>
        <v xml:space="preserve">  </v>
      </c>
      <c r="J90" s="208" t="s">
        <v>151</v>
      </c>
      <c r="K90" s="298">
        <f>+IFERROR(VLOOKUP($J90,'11 FORMULAS'!$B$51:$C$53,2,0),"")</f>
        <v>0.25</v>
      </c>
      <c r="L90" s="298" t="str">
        <f>+IFERROR(VLOOKUP($J90,'11 FORMULAS'!$B$51:$D$53,3,0),"")</f>
        <v>Probabilidad</v>
      </c>
      <c r="M90" s="358" t="s">
        <v>152</v>
      </c>
      <c r="N90" s="359">
        <f>+IFERROR(VLOOKUP($M90,'11 FORMULAS'!$B$54:$C$55,2,0),"")</f>
        <v>0.25</v>
      </c>
      <c r="O90" s="360" t="s">
        <v>164</v>
      </c>
      <c r="P90" s="360" t="s">
        <v>257</v>
      </c>
      <c r="Q90" s="360" t="s">
        <v>155</v>
      </c>
      <c r="R90" s="360" t="s">
        <v>265</v>
      </c>
      <c r="S90" s="298">
        <f t="shared" si="3"/>
        <v>0.5</v>
      </c>
      <c r="T90" s="298">
        <f>IF($L90='11 FORMULAS'!$D$51,$C$8-($C$8*$S$8),$C$8)</f>
        <v>0.36</v>
      </c>
      <c r="U90" s="298" t="str">
        <f>IF($L90='11 FORMULAS'!$D$53,$D$86-($D$86*$S$86),$D$86)</f>
        <v/>
      </c>
      <c r="V90" s="535"/>
      <c r="W90" s="538"/>
      <c r="X90" s="38"/>
      <c r="Y90" s="294"/>
      <c r="Z90" s="295"/>
      <c r="AA90" s="295"/>
    </row>
    <row r="91" spans="1:27" ht="29.45" hidden="1" customHeight="1" thickBot="1" x14ac:dyDescent="0.3">
      <c r="A91" s="521"/>
      <c r="B91" s="525"/>
      <c r="C91" s="496"/>
      <c r="D91" s="499"/>
      <c r="E91" s="361">
        <v>6</v>
      </c>
      <c r="F91" s="330"/>
      <c r="G91" s="209"/>
      <c r="H91" s="209"/>
      <c r="I91" s="285" t="str">
        <f t="shared" si="2"/>
        <v xml:space="preserve">  </v>
      </c>
      <c r="J91" s="208" t="s">
        <v>151</v>
      </c>
      <c r="K91" s="298">
        <f>+IFERROR(VLOOKUP($J91,'11 FORMULAS'!$B$51:$C$53,2,0),"")</f>
        <v>0.25</v>
      </c>
      <c r="L91" s="298" t="str">
        <f>+IFERROR(VLOOKUP($J91,'11 FORMULAS'!$B$51:$D$53,3,0),"")</f>
        <v>Probabilidad</v>
      </c>
      <c r="M91" s="358" t="s">
        <v>152</v>
      </c>
      <c r="N91" s="359">
        <f>+IFERROR(VLOOKUP($M91,'11 FORMULAS'!$B$54:$C$55,2,0),"")</f>
        <v>0.25</v>
      </c>
      <c r="O91" s="360" t="s">
        <v>164</v>
      </c>
      <c r="P91" s="360" t="s">
        <v>257</v>
      </c>
      <c r="Q91" s="360" t="s">
        <v>155</v>
      </c>
      <c r="R91" s="360" t="s">
        <v>265</v>
      </c>
      <c r="S91" s="298">
        <f t="shared" si="3"/>
        <v>0.5</v>
      </c>
      <c r="T91" s="298">
        <f>IF($L91='11 FORMULAS'!$D$51,$C$8-($C$8*$S$8),$C$8)</f>
        <v>0.36</v>
      </c>
      <c r="U91" s="298" t="str">
        <f>IF($L91='11 FORMULAS'!$D$53,$D$86-($D$86*$S$86),$D$86)</f>
        <v/>
      </c>
      <c r="V91" s="536"/>
      <c r="W91" s="539"/>
      <c r="X91" s="38"/>
    </row>
    <row r="92" spans="1:27" ht="29.45" hidden="1" customHeight="1" thickBot="1" x14ac:dyDescent="0.3">
      <c r="A92" s="518" t="str">
        <f>'2 CONTEXTO E IDENTIFICACIÓN'!A23</f>
        <v>R15</v>
      </c>
      <c r="B92" s="522" t="str">
        <f>+'2 CONTEXTO E IDENTIFICACIÓN'!J23</f>
        <v xml:space="preserve"> por a causa de </v>
      </c>
      <c r="C92" s="494" t="str">
        <f>+'3 PROBABIL E IMPACTO INHERENTE'!E23</f>
        <v/>
      </c>
      <c r="D92" s="497" t="str">
        <f>+'3 PROBABIL E IMPACTO INHERENTE'!M23</f>
        <v/>
      </c>
      <c r="E92" s="362">
        <v>1</v>
      </c>
      <c r="F92" s="328"/>
      <c r="G92" s="52"/>
      <c r="H92" s="52"/>
      <c r="I92" s="285" t="str">
        <f t="shared" si="2"/>
        <v xml:space="preserve">  </v>
      </c>
      <c r="J92" s="208" t="s">
        <v>151</v>
      </c>
      <c r="K92" s="298">
        <f>+IFERROR(VLOOKUP($J92,'11 FORMULAS'!$B$51:$C$53,2,0),"")</f>
        <v>0.25</v>
      </c>
      <c r="L92" s="298" t="str">
        <f>+IFERROR(VLOOKUP($J92,'11 FORMULAS'!$B$51:$D$53,3,0),"")</f>
        <v>Probabilidad</v>
      </c>
      <c r="M92" s="358" t="s">
        <v>152</v>
      </c>
      <c r="N92" s="359">
        <f>+IFERROR(VLOOKUP($M92,'11 FORMULAS'!$B$54:$C$55,2,0),"")</f>
        <v>0.25</v>
      </c>
      <c r="O92" s="360" t="s">
        <v>164</v>
      </c>
      <c r="P92" s="360" t="s">
        <v>257</v>
      </c>
      <c r="Q92" s="360" t="s">
        <v>155</v>
      </c>
      <c r="R92" s="360" t="s">
        <v>265</v>
      </c>
      <c r="S92" s="298">
        <f t="shared" si="3"/>
        <v>0.5</v>
      </c>
      <c r="T92" s="298">
        <f>IF($L92='11 FORMULAS'!$D$51,$C$8-($C$8*$S$8),$C$8)</f>
        <v>0.36</v>
      </c>
      <c r="U92" s="331" t="str">
        <f>IF($L92='11 FORMULAS'!$D$53,D92-(D92*S92),D92)</f>
        <v/>
      </c>
      <c r="V92" s="534">
        <f>+IF(T97="","",T97)</f>
        <v>0.36</v>
      </c>
      <c r="W92" s="537">
        <f>+IF(U97="","",U97)</f>
        <v>0</v>
      </c>
      <c r="X92" s="38"/>
      <c r="Y92" s="294"/>
      <c r="Z92" s="295"/>
      <c r="AA92" s="295"/>
    </row>
    <row r="93" spans="1:27" ht="29.45" hidden="1" customHeight="1" thickBot="1" x14ac:dyDescent="0.3">
      <c r="A93" s="520"/>
      <c r="B93" s="524"/>
      <c r="C93" s="495"/>
      <c r="D93" s="498"/>
      <c r="E93" s="357">
        <v>2</v>
      </c>
      <c r="F93" s="327"/>
      <c r="G93" s="208"/>
      <c r="H93" s="208"/>
      <c r="I93" s="285" t="str">
        <f t="shared" si="2"/>
        <v xml:space="preserve">  </v>
      </c>
      <c r="J93" s="208" t="s">
        <v>151</v>
      </c>
      <c r="K93" s="298">
        <f>+IFERROR(VLOOKUP($J93,'11 FORMULAS'!$B$51:$C$53,2,0),"")</f>
        <v>0.25</v>
      </c>
      <c r="L93" s="298" t="str">
        <f>+IFERROR(VLOOKUP($J93,'11 FORMULAS'!$B$51:$D$53,3,0),"")</f>
        <v>Probabilidad</v>
      </c>
      <c r="M93" s="358" t="s">
        <v>152</v>
      </c>
      <c r="N93" s="359">
        <f>+IFERROR(VLOOKUP($M93,'11 FORMULAS'!$B$54:$C$55,2,0),"")</f>
        <v>0.25</v>
      </c>
      <c r="O93" s="360" t="s">
        <v>164</v>
      </c>
      <c r="P93" s="360" t="s">
        <v>257</v>
      </c>
      <c r="Q93" s="360" t="s">
        <v>155</v>
      </c>
      <c r="R93" s="360" t="s">
        <v>265</v>
      </c>
      <c r="S93" s="298">
        <f t="shared" si="3"/>
        <v>0.5</v>
      </c>
      <c r="T93" s="298">
        <f>IF($L93='11 FORMULAS'!$D$51,$C$8-($C$8*$S$8),$C$8)</f>
        <v>0.36</v>
      </c>
      <c r="U93" s="298">
        <f>IF($L93='11 FORMULAS'!$D$53,D93-(D93*S93),D93)</f>
        <v>0</v>
      </c>
      <c r="V93" s="535"/>
      <c r="W93" s="538"/>
      <c r="X93" s="38"/>
      <c r="Y93" s="294"/>
      <c r="Z93" s="295"/>
      <c r="AA93" s="295"/>
    </row>
    <row r="94" spans="1:27" ht="29.45" hidden="1" customHeight="1" thickBot="1" x14ac:dyDescent="0.3">
      <c r="A94" s="520"/>
      <c r="B94" s="524"/>
      <c r="C94" s="495"/>
      <c r="D94" s="498"/>
      <c r="E94" s="357">
        <v>3</v>
      </c>
      <c r="F94" s="327"/>
      <c r="G94" s="208"/>
      <c r="H94" s="208"/>
      <c r="I94" s="285" t="str">
        <f t="shared" si="2"/>
        <v xml:space="preserve">  </v>
      </c>
      <c r="J94" s="208" t="s">
        <v>151</v>
      </c>
      <c r="K94" s="298">
        <f>+IFERROR(VLOOKUP($J94,'11 FORMULAS'!$B$51:$C$53,2,0),"")</f>
        <v>0.25</v>
      </c>
      <c r="L94" s="298" t="str">
        <f>+IFERROR(VLOOKUP($J94,'11 FORMULAS'!$B$51:$D$53,3,0),"")</f>
        <v>Probabilidad</v>
      </c>
      <c r="M94" s="358" t="s">
        <v>152</v>
      </c>
      <c r="N94" s="359">
        <f>+IFERROR(VLOOKUP($M94,'11 FORMULAS'!$B$54:$C$55,2,0),"")</f>
        <v>0.25</v>
      </c>
      <c r="O94" s="360" t="s">
        <v>164</v>
      </c>
      <c r="P94" s="360" t="s">
        <v>257</v>
      </c>
      <c r="Q94" s="360" t="s">
        <v>155</v>
      </c>
      <c r="R94" s="360" t="s">
        <v>265</v>
      </c>
      <c r="S94" s="298">
        <f t="shared" si="3"/>
        <v>0.5</v>
      </c>
      <c r="T94" s="298">
        <f>IF($L94='11 FORMULAS'!$D$51,$C$8-($C$8*$S$8),$C$8)</f>
        <v>0.36</v>
      </c>
      <c r="U94" s="298">
        <f>IF($L94='11 FORMULAS'!$D$53,D94-(D94*S94),D94)</f>
        <v>0</v>
      </c>
      <c r="V94" s="535"/>
      <c r="W94" s="538"/>
      <c r="X94" s="38"/>
      <c r="Y94" s="294"/>
      <c r="Z94" s="295"/>
      <c r="AA94" s="295"/>
    </row>
    <row r="95" spans="1:27" ht="29.45" hidden="1" customHeight="1" thickBot="1" x14ac:dyDescent="0.3">
      <c r="A95" s="520"/>
      <c r="B95" s="524"/>
      <c r="C95" s="495"/>
      <c r="D95" s="498"/>
      <c r="E95" s="357">
        <v>4</v>
      </c>
      <c r="F95" s="327"/>
      <c r="G95" s="208"/>
      <c r="H95" s="208"/>
      <c r="I95" s="285" t="str">
        <f t="shared" si="2"/>
        <v xml:space="preserve">  </v>
      </c>
      <c r="J95" s="208" t="s">
        <v>151</v>
      </c>
      <c r="K95" s="298">
        <f>+IFERROR(VLOOKUP($J95,'11 FORMULAS'!$B$51:$C$53,2,0),"")</f>
        <v>0.25</v>
      </c>
      <c r="L95" s="298" t="str">
        <f>+IFERROR(VLOOKUP($J95,'11 FORMULAS'!$B$51:$D$53,3,0),"")</f>
        <v>Probabilidad</v>
      </c>
      <c r="M95" s="358" t="s">
        <v>152</v>
      </c>
      <c r="N95" s="359">
        <f>+IFERROR(VLOOKUP($M95,'11 FORMULAS'!$B$54:$C$55,2,0),"")</f>
        <v>0.25</v>
      </c>
      <c r="O95" s="360" t="s">
        <v>164</v>
      </c>
      <c r="P95" s="360" t="s">
        <v>257</v>
      </c>
      <c r="Q95" s="360" t="s">
        <v>155</v>
      </c>
      <c r="R95" s="360" t="s">
        <v>265</v>
      </c>
      <c r="S95" s="298">
        <f t="shared" si="3"/>
        <v>0.5</v>
      </c>
      <c r="T95" s="298">
        <f>IF($L95='11 FORMULAS'!$D$51,$C$8-($C$8*$S$8),$C$8)</f>
        <v>0.36</v>
      </c>
      <c r="U95" s="298">
        <f>IF($L95='11 FORMULAS'!$D$53,D95-(D95*S95),D95)</f>
        <v>0</v>
      </c>
      <c r="V95" s="535"/>
      <c r="W95" s="538"/>
      <c r="X95" s="38"/>
      <c r="Y95" s="294"/>
      <c r="Z95" s="295"/>
      <c r="AA95" s="295"/>
    </row>
    <row r="96" spans="1:27" ht="29.45" hidden="1" customHeight="1" thickBot="1" x14ac:dyDescent="0.3">
      <c r="A96" s="520"/>
      <c r="B96" s="524"/>
      <c r="C96" s="495"/>
      <c r="D96" s="498"/>
      <c r="E96" s="357">
        <v>5</v>
      </c>
      <c r="F96" s="327"/>
      <c r="G96" s="208"/>
      <c r="H96" s="208"/>
      <c r="I96" s="285" t="str">
        <f t="shared" si="2"/>
        <v xml:space="preserve">  </v>
      </c>
      <c r="J96" s="208" t="s">
        <v>151</v>
      </c>
      <c r="K96" s="298">
        <f>+IFERROR(VLOOKUP($J96,'11 FORMULAS'!$B$51:$C$53,2,0),"")</f>
        <v>0.25</v>
      </c>
      <c r="L96" s="298" t="str">
        <f>+IFERROR(VLOOKUP($J96,'11 FORMULAS'!$B$51:$D$53,3,0),"")</f>
        <v>Probabilidad</v>
      </c>
      <c r="M96" s="358" t="s">
        <v>152</v>
      </c>
      <c r="N96" s="359">
        <f>+IFERROR(VLOOKUP($M96,'11 FORMULAS'!$B$54:$C$55,2,0),"")</f>
        <v>0.25</v>
      </c>
      <c r="O96" s="360" t="s">
        <v>164</v>
      </c>
      <c r="P96" s="360" t="s">
        <v>257</v>
      </c>
      <c r="Q96" s="360" t="s">
        <v>155</v>
      </c>
      <c r="R96" s="360" t="s">
        <v>265</v>
      </c>
      <c r="S96" s="298">
        <f t="shared" si="3"/>
        <v>0.5</v>
      </c>
      <c r="T96" s="298">
        <f>IF($L96='11 FORMULAS'!$D$51,$C$8-($C$8*$S$8),$C$8)</f>
        <v>0.36</v>
      </c>
      <c r="U96" s="298">
        <f>IF($L96='11 FORMULAS'!$D$53,D96-(D96*S96),D96)</f>
        <v>0</v>
      </c>
      <c r="V96" s="535"/>
      <c r="W96" s="538"/>
      <c r="X96" s="38"/>
      <c r="Y96" s="294"/>
      <c r="Z96" s="295"/>
      <c r="AA96" s="295"/>
    </row>
    <row r="97" spans="1:27" ht="29.45" hidden="1" customHeight="1" thickBot="1" x14ac:dyDescent="0.3">
      <c r="A97" s="521"/>
      <c r="B97" s="525"/>
      <c r="C97" s="496"/>
      <c r="D97" s="499"/>
      <c r="E97" s="361">
        <v>6</v>
      </c>
      <c r="F97" s="330"/>
      <c r="G97" s="209"/>
      <c r="H97" s="209"/>
      <c r="I97" s="285" t="str">
        <f t="shared" si="2"/>
        <v xml:space="preserve">  </v>
      </c>
      <c r="J97" s="208" t="s">
        <v>151</v>
      </c>
      <c r="K97" s="298">
        <f>+IFERROR(VLOOKUP($J97,'11 FORMULAS'!$B$51:$C$53,2,0),"")</f>
        <v>0.25</v>
      </c>
      <c r="L97" s="298" t="str">
        <f>+IFERROR(VLOOKUP($J97,'11 FORMULAS'!$B$51:$D$53,3,0),"")</f>
        <v>Probabilidad</v>
      </c>
      <c r="M97" s="358" t="s">
        <v>152</v>
      </c>
      <c r="N97" s="359">
        <f>+IFERROR(VLOOKUP($M97,'11 FORMULAS'!$B$54:$C$55,2,0),"")</f>
        <v>0.25</v>
      </c>
      <c r="O97" s="360" t="s">
        <v>164</v>
      </c>
      <c r="P97" s="360" t="s">
        <v>257</v>
      </c>
      <c r="Q97" s="360" t="s">
        <v>155</v>
      </c>
      <c r="R97" s="360" t="s">
        <v>265</v>
      </c>
      <c r="S97" s="298">
        <f t="shared" si="3"/>
        <v>0.5</v>
      </c>
      <c r="T97" s="298">
        <f>IF($L97='11 FORMULAS'!$D$51,$C$8-($C$8*$S$8),$C$8)</f>
        <v>0.36</v>
      </c>
      <c r="U97" s="298">
        <f>IF($L97='11 FORMULAS'!$D$53,D97-(D97*S97),D97)</f>
        <v>0</v>
      </c>
      <c r="V97" s="536"/>
      <c r="W97" s="539"/>
      <c r="X97" s="38"/>
    </row>
    <row r="98" spans="1:27" ht="29.45" hidden="1" customHeight="1" thickBot="1" x14ac:dyDescent="0.3">
      <c r="A98" s="518" t="str">
        <f>'2 CONTEXTO E IDENTIFICACIÓN'!A24</f>
        <v>R16</v>
      </c>
      <c r="B98" s="522" t="str">
        <f>+'2 CONTEXTO E IDENTIFICACIÓN'!J24</f>
        <v xml:space="preserve"> por a causa de </v>
      </c>
      <c r="C98" s="494" t="str">
        <f>+'3 PROBABIL E IMPACTO INHERENTE'!E24</f>
        <v/>
      </c>
      <c r="D98" s="497" t="str">
        <f>+'3 PROBABIL E IMPACTO INHERENTE'!M24</f>
        <v/>
      </c>
      <c r="E98" s="362">
        <v>1</v>
      </c>
      <c r="F98" s="328"/>
      <c r="G98" s="52"/>
      <c r="H98" s="52"/>
      <c r="I98" s="285" t="str">
        <f t="shared" si="2"/>
        <v xml:space="preserve">  </v>
      </c>
      <c r="J98" s="208" t="s">
        <v>151</v>
      </c>
      <c r="K98" s="298">
        <f>+IFERROR(VLOOKUP($J98,'11 FORMULAS'!$B$51:$C$53,2,0),"")</f>
        <v>0.25</v>
      </c>
      <c r="L98" s="298" t="str">
        <f>+IFERROR(VLOOKUP($J98,'11 FORMULAS'!$B$51:$D$53,3,0),"")</f>
        <v>Probabilidad</v>
      </c>
      <c r="M98" s="358" t="s">
        <v>152</v>
      </c>
      <c r="N98" s="359">
        <f>+IFERROR(VLOOKUP($M98,'11 FORMULAS'!$B$54:$C$55,2,0),"")</f>
        <v>0.25</v>
      </c>
      <c r="O98" s="360" t="s">
        <v>164</v>
      </c>
      <c r="P98" s="360" t="s">
        <v>257</v>
      </c>
      <c r="Q98" s="360" t="s">
        <v>155</v>
      </c>
      <c r="R98" s="360" t="s">
        <v>265</v>
      </c>
      <c r="S98" s="298">
        <f t="shared" si="3"/>
        <v>0.5</v>
      </c>
      <c r="T98" s="298">
        <f>IF($L98='11 FORMULAS'!$D$51,$C$8-($C$8*$S$8),$C$8)</f>
        <v>0.36</v>
      </c>
      <c r="U98" s="298" t="str">
        <f>IF($L98='11 FORMULAS'!$D$53,D98-(D98*S98),D98)</f>
        <v/>
      </c>
      <c r="V98" s="534">
        <f>+IF(T103="","",T103)</f>
        <v>0.36</v>
      </c>
      <c r="W98" s="537">
        <f>+IF(U103="","",U103)</f>
        <v>0</v>
      </c>
      <c r="X98" s="38"/>
      <c r="Y98" s="294"/>
      <c r="Z98" s="295"/>
      <c r="AA98" s="295"/>
    </row>
    <row r="99" spans="1:27" ht="29.45" hidden="1" customHeight="1" thickBot="1" x14ac:dyDescent="0.3">
      <c r="A99" s="520"/>
      <c r="B99" s="524"/>
      <c r="C99" s="495"/>
      <c r="D99" s="498"/>
      <c r="E99" s="357">
        <v>2</v>
      </c>
      <c r="F99" s="327"/>
      <c r="G99" s="208"/>
      <c r="H99" s="208"/>
      <c r="I99" s="285" t="str">
        <f t="shared" si="2"/>
        <v xml:space="preserve">  </v>
      </c>
      <c r="J99" s="208" t="s">
        <v>151</v>
      </c>
      <c r="K99" s="298">
        <f>+IFERROR(VLOOKUP($J99,'11 FORMULAS'!$B$51:$C$53,2,0),"")</f>
        <v>0.25</v>
      </c>
      <c r="L99" s="298" t="str">
        <f>+IFERROR(VLOOKUP($J99,'11 FORMULAS'!$B$51:$D$53,3,0),"")</f>
        <v>Probabilidad</v>
      </c>
      <c r="M99" s="358" t="s">
        <v>152</v>
      </c>
      <c r="N99" s="359">
        <f>+IFERROR(VLOOKUP($M99,'11 FORMULAS'!$B$54:$C$55,2,0),"")</f>
        <v>0.25</v>
      </c>
      <c r="O99" s="360" t="s">
        <v>164</v>
      </c>
      <c r="P99" s="360" t="s">
        <v>257</v>
      </c>
      <c r="Q99" s="360" t="s">
        <v>155</v>
      </c>
      <c r="R99" s="360" t="s">
        <v>265</v>
      </c>
      <c r="S99" s="298">
        <f t="shared" si="3"/>
        <v>0.5</v>
      </c>
      <c r="T99" s="298">
        <f>IF($L99='11 FORMULAS'!$D$51,$C$8-($C$8*$S$8),$C$8)</f>
        <v>0.36</v>
      </c>
      <c r="U99" s="298">
        <f>IF($L99='11 FORMULAS'!$D$53,D99-(D99*S99),D99)</f>
        <v>0</v>
      </c>
      <c r="V99" s="535"/>
      <c r="W99" s="538"/>
      <c r="X99" s="38"/>
      <c r="Y99" s="294"/>
      <c r="Z99" s="295"/>
      <c r="AA99" s="295"/>
    </row>
    <row r="100" spans="1:27" ht="29.45" hidden="1" customHeight="1" thickBot="1" x14ac:dyDescent="0.3">
      <c r="A100" s="520"/>
      <c r="B100" s="524"/>
      <c r="C100" s="495"/>
      <c r="D100" s="498"/>
      <c r="E100" s="357">
        <v>3</v>
      </c>
      <c r="F100" s="327"/>
      <c r="G100" s="208"/>
      <c r="H100" s="208"/>
      <c r="I100" s="285" t="str">
        <f t="shared" si="2"/>
        <v xml:space="preserve">  </v>
      </c>
      <c r="J100" s="208" t="s">
        <v>151</v>
      </c>
      <c r="K100" s="298">
        <f>+IFERROR(VLOOKUP($J100,'11 FORMULAS'!$B$51:$C$53,2,0),"")</f>
        <v>0.25</v>
      </c>
      <c r="L100" s="298" t="str">
        <f>+IFERROR(VLOOKUP($J100,'11 FORMULAS'!$B$51:$D$53,3,0),"")</f>
        <v>Probabilidad</v>
      </c>
      <c r="M100" s="358" t="s">
        <v>152</v>
      </c>
      <c r="N100" s="359">
        <f>+IFERROR(VLOOKUP($M100,'11 FORMULAS'!$B$54:$C$55,2,0),"")</f>
        <v>0.25</v>
      </c>
      <c r="O100" s="360" t="s">
        <v>164</v>
      </c>
      <c r="P100" s="360" t="s">
        <v>257</v>
      </c>
      <c r="Q100" s="360" t="s">
        <v>155</v>
      </c>
      <c r="R100" s="360" t="s">
        <v>265</v>
      </c>
      <c r="S100" s="298">
        <f t="shared" si="3"/>
        <v>0.5</v>
      </c>
      <c r="T100" s="298">
        <f>IF($L100='11 FORMULAS'!$D$51,$C$8-($C$8*$S$8),$C$8)</f>
        <v>0.36</v>
      </c>
      <c r="U100" s="298">
        <f>IF($L100='11 FORMULAS'!$D$53,D100-(D100*S100),D100)</f>
        <v>0</v>
      </c>
      <c r="V100" s="535"/>
      <c r="W100" s="538"/>
      <c r="X100" s="38"/>
      <c r="Y100" s="294"/>
      <c r="Z100" s="295"/>
      <c r="AA100" s="295"/>
    </row>
    <row r="101" spans="1:27" ht="29.45" hidden="1" customHeight="1" thickBot="1" x14ac:dyDescent="0.3">
      <c r="A101" s="520"/>
      <c r="B101" s="524"/>
      <c r="C101" s="495"/>
      <c r="D101" s="498"/>
      <c r="E101" s="357">
        <v>4</v>
      </c>
      <c r="F101" s="327"/>
      <c r="G101" s="208"/>
      <c r="H101" s="208"/>
      <c r="I101" s="285" t="str">
        <f t="shared" si="2"/>
        <v xml:space="preserve">  </v>
      </c>
      <c r="J101" s="208" t="s">
        <v>151</v>
      </c>
      <c r="K101" s="298">
        <f>+IFERROR(VLOOKUP($J101,'11 FORMULAS'!$B$51:$C$53,2,0),"")</f>
        <v>0.25</v>
      </c>
      <c r="L101" s="298" t="str">
        <f>+IFERROR(VLOOKUP($J101,'11 FORMULAS'!$B$51:$D$53,3,0),"")</f>
        <v>Probabilidad</v>
      </c>
      <c r="M101" s="358" t="s">
        <v>152</v>
      </c>
      <c r="N101" s="359">
        <f>+IFERROR(VLOOKUP($M101,'11 FORMULAS'!$B$54:$C$55,2,0),"")</f>
        <v>0.25</v>
      </c>
      <c r="O101" s="360" t="s">
        <v>164</v>
      </c>
      <c r="P101" s="360" t="s">
        <v>257</v>
      </c>
      <c r="Q101" s="360" t="s">
        <v>155</v>
      </c>
      <c r="R101" s="360" t="s">
        <v>265</v>
      </c>
      <c r="S101" s="298">
        <f t="shared" si="3"/>
        <v>0.5</v>
      </c>
      <c r="T101" s="298">
        <f>IF($L101='11 FORMULAS'!$D$51,$C$8-($C$8*$S$8),$C$8)</f>
        <v>0.36</v>
      </c>
      <c r="U101" s="298">
        <f>IF($L101='11 FORMULAS'!$D$53,D101-(D101*S101),D101)</f>
        <v>0</v>
      </c>
      <c r="V101" s="535"/>
      <c r="W101" s="538"/>
      <c r="X101" s="38"/>
      <c r="Y101" s="294"/>
      <c r="Z101" s="295"/>
      <c r="AA101" s="295"/>
    </row>
    <row r="102" spans="1:27" ht="29.45" hidden="1" customHeight="1" thickBot="1" x14ac:dyDescent="0.3">
      <c r="A102" s="520"/>
      <c r="B102" s="524"/>
      <c r="C102" s="495"/>
      <c r="D102" s="498"/>
      <c r="E102" s="357">
        <v>5</v>
      </c>
      <c r="F102" s="327"/>
      <c r="G102" s="208"/>
      <c r="H102" s="208"/>
      <c r="I102" s="285" t="str">
        <f t="shared" si="2"/>
        <v xml:space="preserve">  </v>
      </c>
      <c r="J102" s="208" t="s">
        <v>151</v>
      </c>
      <c r="K102" s="298">
        <f>+IFERROR(VLOOKUP($J102,'11 FORMULAS'!$B$51:$C$53,2,0),"")</f>
        <v>0.25</v>
      </c>
      <c r="L102" s="298" t="str">
        <f>+IFERROR(VLOOKUP($J102,'11 FORMULAS'!$B$51:$D$53,3,0),"")</f>
        <v>Probabilidad</v>
      </c>
      <c r="M102" s="358" t="s">
        <v>152</v>
      </c>
      <c r="N102" s="359">
        <f>+IFERROR(VLOOKUP($M102,'11 FORMULAS'!$B$54:$C$55,2,0),"")</f>
        <v>0.25</v>
      </c>
      <c r="O102" s="360" t="s">
        <v>164</v>
      </c>
      <c r="P102" s="360" t="s">
        <v>257</v>
      </c>
      <c r="Q102" s="360" t="s">
        <v>155</v>
      </c>
      <c r="R102" s="360" t="s">
        <v>265</v>
      </c>
      <c r="S102" s="298">
        <f t="shared" si="3"/>
        <v>0.5</v>
      </c>
      <c r="T102" s="298">
        <f>IF($L102='11 FORMULAS'!$D$51,$C$8-($C$8*$S$8),$C$8)</f>
        <v>0.36</v>
      </c>
      <c r="U102" s="298">
        <f>IF($L102='11 FORMULAS'!$D$53,D102-(D102*S102),D102)</f>
        <v>0</v>
      </c>
      <c r="V102" s="535"/>
      <c r="W102" s="538"/>
      <c r="X102" s="38"/>
      <c r="Y102" s="294"/>
      <c r="Z102" s="295"/>
      <c r="AA102" s="295"/>
    </row>
    <row r="103" spans="1:27" ht="29.45" hidden="1" customHeight="1" thickBot="1" x14ac:dyDescent="0.3">
      <c r="A103" s="521"/>
      <c r="B103" s="525"/>
      <c r="C103" s="496"/>
      <c r="D103" s="499"/>
      <c r="E103" s="361">
        <v>6</v>
      </c>
      <c r="F103" s="330"/>
      <c r="G103" s="209"/>
      <c r="H103" s="209"/>
      <c r="I103" s="285" t="str">
        <f t="shared" si="2"/>
        <v xml:space="preserve">  </v>
      </c>
      <c r="J103" s="208" t="s">
        <v>151</v>
      </c>
      <c r="K103" s="298">
        <f>+IFERROR(VLOOKUP($J103,'11 FORMULAS'!$B$51:$C$53,2,0),"")</f>
        <v>0.25</v>
      </c>
      <c r="L103" s="298" t="str">
        <f>+IFERROR(VLOOKUP($J103,'11 FORMULAS'!$B$51:$D$53,3,0),"")</f>
        <v>Probabilidad</v>
      </c>
      <c r="M103" s="358" t="s">
        <v>152</v>
      </c>
      <c r="N103" s="359">
        <f>+IFERROR(VLOOKUP($M103,'11 FORMULAS'!$B$54:$C$55,2,0),"")</f>
        <v>0.25</v>
      </c>
      <c r="O103" s="360" t="s">
        <v>164</v>
      </c>
      <c r="P103" s="360" t="s">
        <v>257</v>
      </c>
      <c r="Q103" s="360" t="s">
        <v>155</v>
      </c>
      <c r="R103" s="360" t="s">
        <v>265</v>
      </c>
      <c r="S103" s="298">
        <f t="shared" si="3"/>
        <v>0.5</v>
      </c>
      <c r="T103" s="298">
        <f>IF($L103='11 FORMULAS'!$D$51,$C$8-($C$8*$S$8),$C$8)</f>
        <v>0.36</v>
      </c>
      <c r="U103" s="298">
        <f>IF($L103='11 FORMULAS'!$D$53,D103-(D103*S103),D103)</f>
        <v>0</v>
      </c>
      <c r="V103" s="536"/>
      <c r="W103" s="539"/>
      <c r="X103" s="38"/>
    </row>
    <row r="104" spans="1:27" ht="29.45" hidden="1" customHeight="1" thickBot="1" x14ac:dyDescent="0.3">
      <c r="A104" s="518" t="str">
        <f>'2 CONTEXTO E IDENTIFICACIÓN'!A25</f>
        <v>R17</v>
      </c>
      <c r="B104" s="522" t="str">
        <f>+'2 CONTEXTO E IDENTIFICACIÓN'!J25</f>
        <v xml:space="preserve"> por a causa de </v>
      </c>
      <c r="C104" s="494" t="str">
        <f>+'3 PROBABIL E IMPACTO INHERENTE'!E25</f>
        <v/>
      </c>
      <c r="D104" s="497" t="str">
        <f>+'3 PROBABIL E IMPACTO INHERENTE'!M25</f>
        <v/>
      </c>
      <c r="E104" s="362">
        <v>1</v>
      </c>
      <c r="F104" s="328"/>
      <c r="G104" s="52"/>
      <c r="H104" s="52"/>
      <c r="I104" s="285" t="str">
        <f t="shared" si="2"/>
        <v xml:space="preserve">  </v>
      </c>
      <c r="J104" s="208" t="s">
        <v>151</v>
      </c>
      <c r="K104" s="298">
        <f>+IFERROR(VLOOKUP($J104,'11 FORMULAS'!$B$51:$C$53,2,0),"")</f>
        <v>0.25</v>
      </c>
      <c r="L104" s="298" t="str">
        <f>+IFERROR(VLOOKUP($J104,'11 FORMULAS'!$B$51:$D$53,3,0),"")</f>
        <v>Probabilidad</v>
      </c>
      <c r="M104" s="358" t="s">
        <v>152</v>
      </c>
      <c r="N104" s="359">
        <f>+IFERROR(VLOOKUP($M104,'11 FORMULAS'!$B$54:$C$55,2,0),"")</f>
        <v>0.25</v>
      </c>
      <c r="O104" s="360" t="s">
        <v>164</v>
      </c>
      <c r="P104" s="360" t="s">
        <v>257</v>
      </c>
      <c r="Q104" s="360" t="s">
        <v>155</v>
      </c>
      <c r="R104" s="360" t="s">
        <v>265</v>
      </c>
      <c r="S104" s="298">
        <f t="shared" si="3"/>
        <v>0.5</v>
      </c>
      <c r="T104" s="298">
        <f>IF($L104='11 FORMULAS'!$D$51,$C$8-($C$8*$S$8),$C$8)</f>
        <v>0.36</v>
      </c>
      <c r="U104" s="298" t="str">
        <f>IF($L104='11 FORMULAS'!$D$53,D104-(D104*S104),D104)</f>
        <v/>
      </c>
      <c r="V104" s="534">
        <f>+IF(T109="","",T109)</f>
        <v>0.36</v>
      </c>
      <c r="W104" s="537">
        <f>+IF(U109="","",U109)</f>
        <v>0</v>
      </c>
      <c r="X104" s="38"/>
      <c r="Y104" s="294"/>
      <c r="Z104" s="295"/>
      <c r="AA104" s="295"/>
    </row>
    <row r="105" spans="1:27" ht="29.45" hidden="1" customHeight="1" thickBot="1" x14ac:dyDescent="0.3">
      <c r="A105" s="519"/>
      <c r="B105" s="523"/>
      <c r="C105" s="526"/>
      <c r="D105" s="527"/>
      <c r="E105" s="357">
        <v>2</v>
      </c>
      <c r="F105" s="326"/>
      <c r="G105" s="323"/>
      <c r="H105" s="323"/>
      <c r="I105" s="285" t="str">
        <f t="shared" si="2"/>
        <v xml:space="preserve">  </v>
      </c>
      <c r="J105" s="208" t="s">
        <v>151</v>
      </c>
      <c r="K105" s="298">
        <f>+IFERROR(VLOOKUP($J105,'11 FORMULAS'!$B$51:$C$53,2,0),"")</f>
        <v>0.25</v>
      </c>
      <c r="L105" s="298" t="str">
        <f>+IFERROR(VLOOKUP($J105,'11 FORMULAS'!$B$51:$D$53,3,0),"")</f>
        <v>Probabilidad</v>
      </c>
      <c r="M105" s="358" t="s">
        <v>152</v>
      </c>
      <c r="N105" s="359">
        <f>+IFERROR(VLOOKUP($M105,'11 FORMULAS'!$B$54:$C$55,2,0),"")</f>
        <v>0.25</v>
      </c>
      <c r="O105" s="360" t="s">
        <v>164</v>
      </c>
      <c r="P105" s="360" t="s">
        <v>257</v>
      </c>
      <c r="Q105" s="360" t="s">
        <v>155</v>
      </c>
      <c r="R105" s="360" t="s">
        <v>265</v>
      </c>
      <c r="S105" s="298">
        <f t="shared" si="3"/>
        <v>0.5</v>
      </c>
      <c r="T105" s="298">
        <f>IF($L105='11 FORMULAS'!$D$51,$C$8-($C$8*$S$8),$C$8)</f>
        <v>0.36</v>
      </c>
      <c r="U105" s="298">
        <f>IF($L105='11 FORMULAS'!$D$53,D105-(D105*S105),D105)</f>
        <v>0</v>
      </c>
      <c r="V105" s="542"/>
      <c r="W105" s="543"/>
      <c r="X105" s="38"/>
      <c r="Y105" s="294"/>
      <c r="Z105" s="295"/>
      <c r="AA105" s="295"/>
    </row>
    <row r="106" spans="1:27" ht="29.45" hidden="1" customHeight="1" thickBot="1" x14ac:dyDescent="0.3">
      <c r="A106" s="519"/>
      <c r="B106" s="523"/>
      <c r="C106" s="526"/>
      <c r="D106" s="527"/>
      <c r="E106" s="357">
        <v>3</v>
      </c>
      <c r="F106" s="326"/>
      <c r="G106" s="323"/>
      <c r="H106" s="323"/>
      <c r="I106" s="285" t="str">
        <f t="shared" si="2"/>
        <v xml:space="preserve">  </v>
      </c>
      <c r="J106" s="208" t="s">
        <v>151</v>
      </c>
      <c r="K106" s="298">
        <f>+IFERROR(VLOOKUP($J106,'11 FORMULAS'!$B$51:$C$53,2,0),"")</f>
        <v>0.25</v>
      </c>
      <c r="L106" s="298" t="str">
        <f>+IFERROR(VLOOKUP($J106,'11 FORMULAS'!$B$51:$D$53,3,0),"")</f>
        <v>Probabilidad</v>
      </c>
      <c r="M106" s="358" t="s">
        <v>152</v>
      </c>
      <c r="N106" s="359">
        <f>+IFERROR(VLOOKUP($M106,'11 FORMULAS'!$B$54:$C$55,2,0),"")</f>
        <v>0.25</v>
      </c>
      <c r="O106" s="360" t="s">
        <v>164</v>
      </c>
      <c r="P106" s="360" t="s">
        <v>257</v>
      </c>
      <c r="Q106" s="360" t="s">
        <v>155</v>
      </c>
      <c r="R106" s="360" t="s">
        <v>265</v>
      </c>
      <c r="S106" s="298">
        <f t="shared" si="3"/>
        <v>0.5</v>
      </c>
      <c r="T106" s="298">
        <f>IF($L106='11 FORMULAS'!$D$51,$C$8-($C$8*$S$8),$C$8)</f>
        <v>0.36</v>
      </c>
      <c r="U106" s="298">
        <f>IF($L106='11 FORMULAS'!$D$53,D106-(D106*S106),D106)</f>
        <v>0</v>
      </c>
      <c r="V106" s="542"/>
      <c r="W106" s="543"/>
      <c r="X106" s="38"/>
      <c r="Y106" s="294"/>
      <c r="Z106" s="295"/>
      <c r="AA106" s="295"/>
    </row>
    <row r="107" spans="1:27" ht="29.45" hidden="1" customHeight="1" thickBot="1" x14ac:dyDescent="0.3">
      <c r="A107" s="520"/>
      <c r="B107" s="524"/>
      <c r="C107" s="495"/>
      <c r="D107" s="498"/>
      <c r="E107" s="357">
        <v>4</v>
      </c>
      <c r="F107" s="327"/>
      <c r="G107" s="208"/>
      <c r="H107" s="208"/>
      <c r="I107" s="285" t="str">
        <f t="shared" si="2"/>
        <v xml:space="preserve">  </v>
      </c>
      <c r="J107" s="208" t="s">
        <v>151</v>
      </c>
      <c r="K107" s="298">
        <f>+IFERROR(VLOOKUP($J107,'11 FORMULAS'!$B$51:$C$53,2,0),"")</f>
        <v>0.25</v>
      </c>
      <c r="L107" s="298" t="str">
        <f>+IFERROR(VLOOKUP($J107,'11 FORMULAS'!$B$51:$D$53,3,0),"")</f>
        <v>Probabilidad</v>
      </c>
      <c r="M107" s="358" t="s">
        <v>152</v>
      </c>
      <c r="N107" s="359">
        <f>+IFERROR(VLOOKUP($M107,'11 FORMULAS'!$B$54:$C$55,2,0),"")</f>
        <v>0.25</v>
      </c>
      <c r="O107" s="360" t="s">
        <v>164</v>
      </c>
      <c r="P107" s="360" t="s">
        <v>257</v>
      </c>
      <c r="Q107" s="360" t="s">
        <v>155</v>
      </c>
      <c r="R107" s="360" t="s">
        <v>265</v>
      </c>
      <c r="S107" s="298">
        <f t="shared" si="3"/>
        <v>0.5</v>
      </c>
      <c r="T107" s="298">
        <f>IF($L107='11 FORMULAS'!$D$51,$C$8-($C$8*$S$8),$C$8)</f>
        <v>0.36</v>
      </c>
      <c r="U107" s="298">
        <f>IF($L107='11 FORMULAS'!$D$53,D107-(D107*S107),D107)</f>
        <v>0</v>
      </c>
      <c r="V107" s="535"/>
      <c r="W107" s="538"/>
      <c r="X107" s="38"/>
      <c r="Y107" s="294"/>
      <c r="Z107" s="295"/>
      <c r="AA107" s="295"/>
    </row>
    <row r="108" spans="1:27" ht="29.45" hidden="1" customHeight="1" thickBot="1" x14ac:dyDescent="0.3">
      <c r="A108" s="520"/>
      <c r="B108" s="524"/>
      <c r="C108" s="495"/>
      <c r="D108" s="498"/>
      <c r="E108" s="357">
        <v>5</v>
      </c>
      <c r="F108" s="327"/>
      <c r="G108" s="208"/>
      <c r="H108" s="208"/>
      <c r="I108" s="285" t="str">
        <f t="shared" si="2"/>
        <v xml:space="preserve">  </v>
      </c>
      <c r="J108" s="208" t="s">
        <v>151</v>
      </c>
      <c r="K108" s="298">
        <f>+IFERROR(VLOOKUP($J108,'11 FORMULAS'!$B$51:$C$53,2,0),"")</f>
        <v>0.25</v>
      </c>
      <c r="L108" s="298" t="str">
        <f>+IFERROR(VLOOKUP($J108,'11 FORMULAS'!$B$51:$D$53,3,0),"")</f>
        <v>Probabilidad</v>
      </c>
      <c r="M108" s="358" t="s">
        <v>152</v>
      </c>
      <c r="N108" s="359">
        <f>+IFERROR(VLOOKUP($M108,'11 FORMULAS'!$B$54:$C$55,2,0),"")</f>
        <v>0.25</v>
      </c>
      <c r="O108" s="360" t="s">
        <v>164</v>
      </c>
      <c r="P108" s="360" t="s">
        <v>257</v>
      </c>
      <c r="Q108" s="360" t="s">
        <v>155</v>
      </c>
      <c r="R108" s="360" t="s">
        <v>265</v>
      </c>
      <c r="S108" s="298">
        <f t="shared" si="3"/>
        <v>0.5</v>
      </c>
      <c r="T108" s="298">
        <f>IF($L108='11 FORMULAS'!$D$51,$C$8-($C$8*$S$8),$C$8)</f>
        <v>0.36</v>
      </c>
      <c r="U108" s="298">
        <f>IF($L108='11 FORMULAS'!$D$53,D108-(D108*S108),D108)</f>
        <v>0</v>
      </c>
      <c r="V108" s="535"/>
      <c r="W108" s="538"/>
      <c r="X108" s="38"/>
      <c r="Y108" s="294"/>
      <c r="Z108" s="295"/>
      <c r="AA108" s="295"/>
    </row>
    <row r="109" spans="1:27" ht="29.45" hidden="1" customHeight="1" thickBot="1" x14ac:dyDescent="0.3">
      <c r="A109" s="521"/>
      <c r="B109" s="525"/>
      <c r="C109" s="496"/>
      <c r="D109" s="499"/>
      <c r="E109" s="361">
        <v>6</v>
      </c>
      <c r="F109" s="330"/>
      <c r="G109" s="209"/>
      <c r="H109" s="209"/>
      <c r="I109" s="285" t="str">
        <f t="shared" si="2"/>
        <v xml:space="preserve">  </v>
      </c>
      <c r="J109" s="208" t="s">
        <v>151</v>
      </c>
      <c r="K109" s="298">
        <f>+IFERROR(VLOOKUP($J109,'11 FORMULAS'!$B$51:$C$53,2,0),"")</f>
        <v>0.25</v>
      </c>
      <c r="L109" s="298" t="str">
        <f>+IFERROR(VLOOKUP($J109,'11 FORMULAS'!$B$51:$D$53,3,0),"")</f>
        <v>Probabilidad</v>
      </c>
      <c r="M109" s="358" t="s">
        <v>152</v>
      </c>
      <c r="N109" s="359">
        <f>+IFERROR(VLOOKUP($M109,'11 FORMULAS'!$B$54:$C$55,2,0),"")</f>
        <v>0.25</v>
      </c>
      <c r="O109" s="360" t="s">
        <v>164</v>
      </c>
      <c r="P109" s="360" t="s">
        <v>257</v>
      </c>
      <c r="Q109" s="360" t="s">
        <v>155</v>
      </c>
      <c r="R109" s="360" t="s">
        <v>265</v>
      </c>
      <c r="S109" s="298">
        <f t="shared" si="3"/>
        <v>0.5</v>
      </c>
      <c r="T109" s="298">
        <f>IF($L109='11 FORMULAS'!$D$51,$C$8-($C$8*$S$8),$C$8)</f>
        <v>0.36</v>
      </c>
      <c r="U109" s="298">
        <f>IF($L109='11 FORMULAS'!$D$53,D109-(D109*S109),D109)</f>
        <v>0</v>
      </c>
      <c r="V109" s="536"/>
      <c r="W109" s="539"/>
      <c r="X109" s="38"/>
    </row>
    <row r="110" spans="1:27" ht="29.45" hidden="1" customHeight="1" thickBot="1" x14ac:dyDescent="0.3">
      <c r="A110" s="518" t="str">
        <f>'2 CONTEXTO E IDENTIFICACIÓN'!A26</f>
        <v>R18</v>
      </c>
      <c r="B110" s="522" t="str">
        <f>+'2 CONTEXTO E IDENTIFICACIÓN'!J26</f>
        <v xml:space="preserve"> por a causa de </v>
      </c>
      <c r="C110" s="494" t="str">
        <f>+'3 PROBABIL E IMPACTO INHERENTE'!E26</f>
        <v/>
      </c>
      <c r="D110" s="497" t="str">
        <f>+'3 PROBABIL E IMPACTO INHERENTE'!M26</f>
        <v/>
      </c>
      <c r="E110" s="362">
        <v>1</v>
      </c>
      <c r="F110" s="328"/>
      <c r="G110" s="52"/>
      <c r="H110" s="52"/>
      <c r="I110" s="285" t="str">
        <f t="shared" si="2"/>
        <v xml:space="preserve">  </v>
      </c>
      <c r="J110" s="208" t="s">
        <v>151</v>
      </c>
      <c r="K110" s="298">
        <f>+IFERROR(VLOOKUP($J110,'11 FORMULAS'!$B$51:$C$53,2,0),"")</f>
        <v>0.25</v>
      </c>
      <c r="L110" s="298" t="str">
        <f>+IFERROR(VLOOKUP($J110,'11 FORMULAS'!$B$51:$D$53,3,0),"")</f>
        <v>Probabilidad</v>
      </c>
      <c r="M110" s="358" t="s">
        <v>152</v>
      </c>
      <c r="N110" s="359">
        <f>+IFERROR(VLOOKUP($M110,'11 FORMULAS'!$B$54:$C$55,2,0),"")</f>
        <v>0.25</v>
      </c>
      <c r="O110" s="360" t="s">
        <v>164</v>
      </c>
      <c r="P110" s="360" t="s">
        <v>257</v>
      </c>
      <c r="Q110" s="360" t="s">
        <v>155</v>
      </c>
      <c r="R110" s="360" t="s">
        <v>265</v>
      </c>
      <c r="S110" s="298">
        <f t="shared" si="3"/>
        <v>0.5</v>
      </c>
      <c r="T110" s="298">
        <f>IF($L110='11 FORMULAS'!$D$51,$C$8-($C$8*$S$8),$C$8)</f>
        <v>0.36</v>
      </c>
      <c r="U110" s="298" t="str">
        <f>IF($L110='11 FORMULAS'!$D$53,D110-(D110*S110),D110)</f>
        <v/>
      </c>
      <c r="V110" s="534">
        <f>+IF(T115="","",T115)</f>
        <v>0.36</v>
      </c>
      <c r="W110" s="537">
        <f>+IF(U115="","",U115)</f>
        <v>0</v>
      </c>
      <c r="X110" s="38"/>
      <c r="Y110" s="294"/>
      <c r="Z110" s="295"/>
      <c r="AA110" s="295"/>
    </row>
    <row r="111" spans="1:27" ht="29.45" hidden="1" customHeight="1" thickBot="1" x14ac:dyDescent="0.3">
      <c r="A111" s="519"/>
      <c r="B111" s="523"/>
      <c r="C111" s="526"/>
      <c r="D111" s="527"/>
      <c r="E111" s="357">
        <v>2</v>
      </c>
      <c r="F111" s="326"/>
      <c r="G111" s="323"/>
      <c r="H111" s="323"/>
      <c r="I111" s="285" t="str">
        <f t="shared" si="2"/>
        <v xml:space="preserve">  </v>
      </c>
      <c r="J111" s="208" t="s">
        <v>151</v>
      </c>
      <c r="K111" s="298">
        <f>+IFERROR(VLOOKUP($J111,'11 FORMULAS'!$B$51:$C$53,2,0),"")</f>
        <v>0.25</v>
      </c>
      <c r="L111" s="298" t="str">
        <f>+IFERROR(VLOOKUP($J111,'11 FORMULAS'!$B$51:$D$53,3,0),"")</f>
        <v>Probabilidad</v>
      </c>
      <c r="M111" s="358" t="s">
        <v>152</v>
      </c>
      <c r="N111" s="359">
        <f>+IFERROR(VLOOKUP($M111,'11 FORMULAS'!$B$54:$C$55,2,0),"")</f>
        <v>0.25</v>
      </c>
      <c r="O111" s="360" t="s">
        <v>164</v>
      </c>
      <c r="P111" s="360" t="s">
        <v>257</v>
      </c>
      <c r="Q111" s="360" t="s">
        <v>155</v>
      </c>
      <c r="R111" s="360" t="s">
        <v>265</v>
      </c>
      <c r="S111" s="298">
        <f t="shared" si="3"/>
        <v>0.5</v>
      </c>
      <c r="T111" s="298">
        <f>IF($L111='11 FORMULAS'!$D$51,$C$8-($C$8*$S$8),$C$8)</f>
        <v>0.36</v>
      </c>
      <c r="U111" s="298">
        <f>IF($L111='11 FORMULAS'!$D$53,D111-(D111*S111),D111)</f>
        <v>0</v>
      </c>
      <c r="V111" s="542"/>
      <c r="W111" s="543"/>
      <c r="X111" s="38"/>
      <c r="Y111" s="294"/>
      <c r="Z111" s="295"/>
      <c r="AA111" s="295"/>
    </row>
    <row r="112" spans="1:27" ht="29.45" hidden="1" customHeight="1" thickBot="1" x14ac:dyDescent="0.3">
      <c r="A112" s="519"/>
      <c r="B112" s="523"/>
      <c r="C112" s="526"/>
      <c r="D112" s="527"/>
      <c r="E112" s="357">
        <v>3</v>
      </c>
      <c r="F112" s="326"/>
      <c r="G112" s="323"/>
      <c r="H112" s="323"/>
      <c r="I112" s="285" t="str">
        <f t="shared" si="2"/>
        <v xml:space="preserve">  </v>
      </c>
      <c r="J112" s="208" t="s">
        <v>151</v>
      </c>
      <c r="K112" s="298">
        <f>+IFERROR(VLOOKUP($J112,'11 FORMULAS'!$B$51:$C$53,2,0),"")</f>
        <v>0.25</v>
      </c>
      <c r="L112" s="298" t="str">
        <f>+IFERROR(VLOOKUP($J112,'11 FORMULAS'!$B$51:$D$53,3,0),"")</f>
        <v>Probabilidad</v>
      </c>
      <c r="M112" s="358" t="s">
        <v>152</v>
      </c>
      <c r="N112" s="359">
        <f>+IFERROR(VLOOKUP($M112,'11 FORMULAS'!$B$54:$C$55,2,0),"")</f>
        <v>0.25</v>
      </c>
      <c r="O112" s="360" t="s">
        <v>164</v>
      </c>
      <c r="P112" s="360" t="s">
        <v>257</v>
      </c>
      <c r="Q112" s="360" t="s">
        <v>155</v>
      </c>
      <c r="R112" s="360" t="s">
        <v>265</v>
      </c>
      <c r="S112" s="298">
        <f t="shared" si="3"/>
        <v>0.5</v>
      </c>
      <c r="T112" s="298">
        <f>IF($L112='11 FORMULAS'!$D$51,$C$8-($C$8*$S$8),$C$8)</f>
        <v>0.36</v>
      </c>
      <c r="U112" s="298">
        <f>IF($L112='11 FORMULAS'!$D$53,D112-(D112*S112),D112)</f>
        <v>0</v>
      </c>
      <c r="V112" s="542"/>
      <c r="W112" s="543"/>
      <c r="X112" s="38"/>
      <c r="Y112" s="294"/>
      <c r="Z112" s="295"/>
      <c r="AA112" s="295"/>
    </row>
    <row r="113" spans="1:27" ht="29.45" hidden="1" customHeight="1" thickBot="1" x14ac:dyDescent="0.3">
      <c r="A113" s="520"/>
      <c r="B113" s="524"/>
      <c r="C113" s="495"/>
      <c r="D113" s="498"/>
      <c r="E113" s="357">
        <v>4</v>
      </c>
      <c r="F113" s="327"/>
      <c r="G113" s="208"/>
      <c r="H113" s="208"/>
      <c r="I113" s="285" t="str">
        <f t="shared" si="2"/>
        <v xml:space="preserve">  </v>
      </c>
      <c r="J113" s="208" t="s">
        <v>151</v>
      </c>
      <c r="K113" s="298">
        <f>+IFERROR(VLOOKUP($J113,'11 FORMULAS'!$B$51:$C$53,2,0),"")</f>
        <v>0.25</v>
      </c>
      <c r="L113" s="298" t="str">
        <f>+IFERROR(VLOOKUP($J113,'11 FORMULAS'!$B$51:$D$53,3,0),"")</f>
        <v>Probabilidad</v>
      </c>
      <c r="M113" s="358" t="s">
        <v>152</v>
      </c>
      <c r="N113" s="359">
        <f>+IFERROR(VLOOKUP($M113,'11 FORMULAS'!$B$54:$C$55,2,0),"")</f>
        <v>0.25</v>
      </c>
      <c r="O113" s="360" t="s">
        <v>164</v>
      </c>
      <c r="P113" s="360" t="s">
        <v>257</v>
      </c>
      <c r="Q113" s="360" t="s">
        <v>155</v>
      </c>
      <c r="R113" s="360" t="s">
        <v>265</v>
      </c>
      <c r="S113" s="298">
        <f t="shared" si="3"/>
        <v>0.5</v>
      </c>
      <c r="T113" s="298">
        <f>IF($L113='11 FORMULAS'!$D$51,$C$8-($C$8*$S$8),$C$8)</f>
        <v>0.36</v>
      </c>
      <c r="U113" s="298">
        <f>IF($L113='11 FORMULAS'!$D$53,D113-(D113*S113),D113)</f>
        <v>0</v>
      </c>
      <c r="V113" s="535"/>
      <c r="W113" s="538"/>
      <c r="X113" s="38"/>
      <c r="Y113" s="294"/>
      <c r="Z113" s="295"/>
      <c r="AA113" s="295"/>
    </row>
    <row r="114" spans="1:27" ht="29.45" hidden="1" customHeight="1" thickBot="1" x14ac:dyDescent="0.3">
      <c r="A114" s="520"/>
      <c r="B114" s="524"/>
      <c r="C114" s="495"/>
      <c r="D114" s="498"/>
      <c r="E114" s="357">
        <v>5</v>
      </c>
      <c r="F114" s="327"/>
      <c r="G114" s="208"/>
      <c r="H114" s="208"/>
      <c r="I114" s="285" t="str">
        <f t="shared" si="2"/>
        <v xml:space="preserve">  </v>
      </c>
      <c r="J114" s="208" t="s">
        <v>151</v>
      </c>
      <c r="K114" s="298">
        <f>+IFERROR(VLOOKUP($J114,'11 FORMULAS'!$B$51:$C$53,2,0),"")</f>
        <v>0.25</v>
      </c>
      <c r="L114" s="298" t="str">
        <f>+IFERROR(VLOOKUP($J114,'11 FORMULAS'!$B$51:$D$53,3,0),"")</f>
        <v>Probabilidad</v>
      </c>
      <c r="M114" s="358" t="s">
        <v>152</v>
      </c>
      <c r="N114" s="359">
        <f>+IFERROR(VLOOKUP($M114,'11 FORMULAS'!$B$54:$C$55,2,0),"")</f>
        <v>0.25</v>
      </c>
      <c r="O114" s="360" t="s">
        <v>164</v>
      </c>
      <c r="P114" s="360" t="s">
        <v>257</v>
      </c>
      <c r="Q114" s="360" t="s">
        <v>155</v>
      </c>
      <c r="R114" s="360" t="s">
        <v>265</v>
      </c>
      <c r="S114" s="298">
        <f t="shared" si="3"/>
        <v>0.5</v>
      </c>
      <c r="T114" s="298">
        <f>IF($L114='11 FORMULAS'!$D$51,$C$8-($C$8*$S$8),$C$8)</f>
        <v>0.36</v>
      </c>
      <c r="U114" s="298">
        <f>IF($L114='11 FORMULAS'!$D$53,D114-(D114*S114),D114)</f>
        <v>0</v>
      </c>
      <c r="V114" s="535"/>
      <c r="W114" s="538"/>
      <c r="X114" s="38"/>
      <c r="Y114" s="294"/>
      <c r="Z114" s="295"/>
      <c r="AA114" s="295"/>
    </row>
    <row r="115" spans="1:27" ht="29.45" hidden="1" customHeight="1" thickBot="1" x14ac:dyDescent="0.3">
      <c r="A115" s="521"/>
      <c r="B115" s="525"/>
      <c r="C115" s="496"/>
      <c r="D115" s="499"/>
      <c r="E115" s="361">
        <v>6</v>
      </c>
      <c r="F115" s="330"/>
      <c r="G115" s="209"/>
      <c r="H115" s="209"/>
      <c r="I115" s="285" t="str">
        <f t="shared" si="2"/>
        <v xml:space="preserve">  </v>
      </c>
      <c r="J115" s="208" t="s">
        <v>151</v>
      </c>
      <c r="K115" s="298">
        <f>+IFERROR(VLOOKUP($J115,'11 FORMULAS'!$B$51:$C$53,2,0),"")</f>
        <v>0.25</v>
      </c>
      <c r="L115" s="298" t="str">
        <f>+IFERROR(VLOOKUP($J115,'11 FORMULAS'!$B$51:$D$53,3,0),"")</f>
        <v>Probabilidad</v>
      </c>
      <c r="M115" s="358" t="s">
        <v>152</v>
      </c>
      <c r="N115" s="359">
        <f>+IFERROR(VLOOKUP($M115,'11 FORMULAS'!$B$54:$C$55,2,0),"")</f>
        <v>0.25</v>
      </c>
      <c r="O115" s="360" t="s">
        <v>164</v>
      </c>
      <c r="P115" s="360" t="s">
        <v>257</v>
      </c>
      <c r="Q115" s="360" t="s">
        <v>155</v>
      </c>
      <c r="R115" s="360" t="s">
        <v>265</v>
      </c>
      <c r="S115" s="298">
        <f t="shared" si="3"/>
        <v>0.5</v>
      </c>
      <c r="T115" s="298">
        <f>IF($L115='11 FORMULAS'!$D$51,$C$8-($C$8*$S$8),$C$8)</f>
        <v>0.36</v>
      </c>
      <c r="U115" s="298">
        <f>IF($L115='11 FORMULAS'!$D$53,D115-(D115*S115),D115)</f>
        <v>0</v>
      </c>
      <c r="V115" s="536"/>
      <c r="W115" s="539"/>
      <c r="X115" s="38"/>
    </row>
    <row r="116" spans="1:27" ht="29.45" hidden="1" customHeight="1" thickBot="1" x14ac:dyDescent="0.3">
      <c r="A116" s="518" t="str">
        <f>'2 CONTEXTO E IDENTIFICACIÓN'!A27</f>
        <v>R19</v>
      </c>
      <c r="B116" s="522" t="str">
        <f>+'2 CONTEXTO E IDENTIFICACIÓN'!J27</f>
        <v xml:space="preserve"> por a causa de </v>
      </c>
      <c r="C116" s="494" t="str">
        <f>+'3 PROBABIL E IMPACTO INHERENTE'!E27</f>
        <v/>
      </c>
      <c r="D116" s="497" t="str">
        <f>+'3 PROBABIL E IMPACTO INHERENTE'!M27</f>
        <v/>
      </c>
      <c r="E116" s="362">
        <v>1</v>
      </c>
      <c r="F116" s="328"/>
      <c r="G116" s="52"/>
      <c r="H116" s="52"/>
      <c r="I116" s="285" t="str">
        <f t="shared" si="2"/>
        <v xml:space="preserve">  </v>
      </c>
      <c r="J116" s="208" t="s">
        <v>151</v>
      </c>
      <c r="K116" s="298">
        <f>+IFERROR(VLOOKUP($J116,'11 FORMULAS'!$B$51:$C$53,2,0),"")</f>
        <v>0.25</v>
      </c>
      <c r="L116" s="298" t="str">
        <f>+IFERROR(VLOOKUP($J116,'11 FORMULAS'!$B$51:$D$53,3,0),"")</f>
        <v>Probabilidad</v>
      </c>
      <c r="M116" s="358" t="s">
        <v>152</v>
      </c>
      <c r="N116" s="359">
        <f>+IFERROR(VLOOKUP($M116,'11 FORMULAS'!$B$54:$C$55,2,0),"")</f>
        <v>0.25</v>
      </c>
      <c r="O116" s="360" t="s">
        <v>164</v>
      </c>
      <c r="P116" s="360" t="s">
        <v>257</v>
      </c>
      <c r="Q116" s="360" t="s">
        <v>155</v>
      </c>
      <c r="R116" s="360" t="s">
        <v>265</v>
      </c>
      <c r="S116" s="298">
        <f t="shared" si="3"/>
        <v>0.5</v>
      </c>
      <c r="T116" s="298">
        <f>IF($L116='11 FORMULAS'!$D$51,$C$8-($C$8*$S$8),$C$8)</f>
        <v>0.36</v>
      </c>
      <c r="U116" s="298" t="str">
        <f>IF($L116='11 FORMULAS'!$D$53,D116-(D116*S116),D116)</f>
        <v/>
      </c>
      <c r="V116" s="534">
        <f>+IF(T121="","",T121)</f>
        <v>0.6</v>
      </c>
      <c r="W116" s="537">
        <f>+IF(U121="","",U121)</f>
        <v>0</v>
      </c>
      <c r="X116" s="38"/>
      <c r="Y116" s="294"/>
      <c r="Z116" s="295"/>
      <c r="AA116" s="295"/>
    </row>
    <row r="117" spans="1:27" ht="29.45" hidden="1" customHeight="1" thickBot="1" x14ac:dyDescent="0.3">
      <c r="A117" s="519"/>
      <c r="B117" s="523"/>
      <c r="C117" s="526"/>
      <c r="D117" s="527"/>
      <c r="E117" s="357">
        <v>2</v>
      </c>
      <c r="F117" s="326"/>
      <c r="G117" s="323"/>
      <c r="H117" s="323"/>
      <c r="I117" s="285" t="str">
        <f t="shared" si="2"/>
        <v xml:space="preserve">  </v>
      </c>
      <c r="J117" s="208" t="s">
        <v>151</v>
      </c>
      <c r="K117" s="298">
        <f>+IFERROR(VLOOKUP($J117,'11 FORMULAS'!$B$51:$C$53,2,0),"")</f>
        <v>0.25</v>
      </c>
      <c r="L117" s="298" t="str">
        <f>+IFERROR(VLOOKUP($J117,'11 FORMULAS'!$B$51:$D$53,3,0),"")</f>
        <v>Probabilidad</v>
      </c>
      <c r="M117" s="358" t="s">
        <v>152</v>
      </c>
      <c r="N117" s="359">
        <f>+IFERROR(VLOOKUP($M117,'11 FORMULAS'!$B$54:$C$55,2,0),"")</f>
        <v>0.25</v>
      </c>
      <c r="O117" s="360" t="s">
        <v>164</v>
      </c>
      <c r="P117" s="360" t="s">
        <v>257</v>
      </c>
      <c r="Q117" s="360" t="s">
        <v>155</v>
      </c>
      <c r="R117" s="360" t="s">
        <v>265</v>
      </c>
      <c r="S117" s="298">
        <f t="shared" si="3"/>
        <v>0.5</v>
      </c>
      <c r="T117" s="298">
        <f>IF($L117='11 FORMULAS'!$D$51,$C$8-($C$8*$S$8),$C$8)</f>
        <v>0.36</v>
      </c>
      <c r="U117" s="298">
        <f>IF($L117='11 FORMULAS'!$D$53,D117-(D117*S117),D117)</f>
        <v>0</v>
      </c>
      <c r="V117" s="542"/>
      <c r="W117" s="543"/>
      <c r="X117" s="38"/>
      <c r="Y117" s="294"/>
      <c r="Z117" s="295"/>
      <c r="AA117" s="295"/>
    </row>
    <row r="118" spans="1:27" ht="29.45" hidden="1" customHeight="1" thickBot="1" x14ac:dyDescent="0.3">
      <c r="A118" s="519"/>
      <c r="B118" s="523"/>
      <c r="C118" s="526"/>
      <c r="D118" s="527"/>
      <c r="E118" s="357">
        <v>3</v>
      </c>
      <c r="F118" s="326"/>
      <c r="G118" s="323"/>
      <c r="H118" s="323"/>
      <c r="I118" s="285" t="str">
        <f t="shared" si="2"/>
        <v xml:space="preserve">  </v>
      </c>
      <c r="J118" s="208" t="s">
        <v>151</v>
      </c>
      <c r="K118" s="298">
        <f>+IFERROR(VLOOKUP($J118,'11 FORMULAS'!$B$51:$C$53,2,0),"")</f>
        <v>0.25</v>
      </c>
      <c r="L118" s="298" t="str">
        <f>+IFERROR(VLOOKUP($J118,'11 FORMULAS'!$B$51:$D$53,3,0),"")</f>
        <v>Probabilidad</v>
      </c>
      <c r="M118" s="358" t="s">
        <v>152</v>
      </c>
      <c r="N118" s="359">
        <f>+IFERROR(VLOOKUP($M118,'11 FORMULAS'!$B$54:$C$55,2,0),"")</f>
        <v>0.25</v>
      </c>
      <c r="O118" s="360" t="s">
        <v>164</v>
      </c>
      <c r="P118" s="360" t="s">
        <v>257</v>
      </c>
      <c r="Q118" s="360" t="s">
        <v>155</v>
      </c>
      <c r="R118" s="360" t="s">
        <v>265</v>
      </c>
      <c r="S118" s="298">
        <f t="shared" si="3"/>
        <v>0.5</v>
      </c>
      <c r="T118" s="298">
        <f>IF($L118='11 FORMULAS'!$D$51,$C$8-($C$8*$S$8),$C$8)</f>
        <v>0.36</v>
      </c>
      <c r="U118" s="298">
        <f>IF($L118='11 FORMULAS'!$D$53,D118-(D118*S118),D118)</f>
        <v>0</v>
      </c>
      <c r="V118" s="542"/>
      <c r="W118" s="543"/>
      <c r="X118" s="38"/>
      <c r="Y118" s="294"/>
      <c r="Z118" s="295"/>
      <c r="AA118" s="295"/>
    </row>
    <row r="119" spans="1:27" ht="29.45" hidden="1" customHeight="1" thickBot="1" x14ac:dyDescent="0.3">
      <c r="A119" s="520"/>
      <c r="B119" s="524"/>
      <c r="C119" s="495"/>
      <c r="D119" s="498"/>
      <c r="E119" s="357">
        <v>4</v>
      </c>
      <c r="F119" s="327"/>
      <c r="G119" s="208"/>
      <c r="H119" s="208"/>
      <c r="I119" s="285" t="str">
        <f t="shared" si="2"/>
        <v xml:space="preserve">  </v>
      </c>
      <c r="J119" s="208" t="s">
        <v>151</v>
      </c>
      <c r="K119" s="298">
        <f>+IFERROR(VLOOKUP($J119,'11 FORMULAS'!$B$51:$C$53,2,0),"")</f>
        <v>0.25</v>
      </c>
      <c r="L119" s="298" t="str">
        <f>+IFERROR(VLOOKUP($J119,'11 FORMULAS'!$B$51:$D$53,3,0),"")</f>
        <v>Probabilidad</v>
      </c>
      <c r="M119" s="358" t="s">
        <v>152</v>
      </c>
      <c r="N119" s="359">
        <f>+IFERROR(VLOOKUP($M119,'11 FORMULAS'!$B$54:$C$55,2,0),"")</f>
        <v>0.25</v>
      </c>
      <c r="O119" s="360" t="s">
        <v>164</v>
      </c>
      <c r="P119" s="360" t="s">
        <v>257</v>
      </c>
      <c r="Q119" s="360" t="s">
        <v>155</v>
      </c>
      <c r="R119" s="360" t="s">
        <v>265</v>
      </c>
      <c r="S119" s="298">
        <f t="shared" si="3"/>
        <v>0.5</v>
      </c>
      <c r="T119" s="298">
        <f>IF($L119='11 FORMULAS'!$D$51,$C$8-($C$8*$S$8),$C$8)</f>
        <v>0.36</v>
      </c>
      <c r="U119" s="298">
        <f>IF($L119='11 FORMULAS'!$D$53,D119-(D119*S119),D119)</f>
        <v>0</v>
      </c>
      <c r="V119" s="535"/>
      <c r="W119" s="538"/>
      <c r="X119" s="38"/>
      <c r="Y119" s="294"/>
      <c r="Z119" s="295"/>
      <c r="AA119" s="295"/>
    </row>
    <row r="120" spans="1:27" ht="29.45" hidden="1" customHeight="1" thickBot="1" x14ac:dyDescent="0.3">
      <c r="A120" s="520"/>
      <c r="B120" s="524"/>
      <c r="C120" s="495"/>
      <c r="D120" s="498"/>
      <c r="E120" s="357">
        <v>5</v>
      </c>
      <c r="F120" s="327"/>
      <c r="G120" s="208"/>
      <c r="H120" s="208"/>
      <c r="I120" s="285" t="str">
        <f t="shared" si="2"/>
        <v xml:space="preserve">  </v>
      </c>
      <c r="J120" s="208" t="s">
        <v>151</v>
      </c>
      <c r="K120" s="298">
        <f>+IFERROR(VLOOKUP($J120,'11 FORMULAS'!$B$51:$C$53,2,0),"")</f>
        <v>0.25</v>
      </c>
      <c r="L120" s="298" t="str">
        <f>+IFERROR(VLOOKUP($J120,'11 FORMULAS'!$B$51:$D$53,3,0),"")</f>
        <v>Probabilidad</v>
      </c>
      <c r="M120" s="358" t="s">
        <v>152</v>
      </c>
      <c r="N120" s="359">
        <f>+IFERROR(VLOOKUP($M120,'11 FORMULAS'!$B$54:$C$55,2,0),"")</f>
        <v>0.25</v>
      </c>
      <c r="O120" s="360" t="s">
        <v>164</v>
      </c>
      <c r="P120" s="360" t="s">
        <v>257</v>
      </c>
      <c r="Q120" s="360" t="s">
        <v>155</v>
      </c>
      <c r="R120" s="360" t="s">
        <v>265</v>
      </c>
      <c r="S120" s="298">
        <f t="shared" si="3"/>
        <v>0.5</v>
      </c>
      <c r="T120" s="298">
        <f>IF($L120='11 FORMULAS'!$D$51,$C$8-($C$8*$S$8),$C$8)</f>
        <v>0.36</v>
      </c>
      <c r="U120" s="298">
        <f>IF($L120='11 FORMULAS'!$D$53,D120-(D120*S120),D120)</f>
        <v>0</v>
      </c>
      <c r="V120" s="535"/>
      <c r="W120" s="538"/>
      <c r="X120" s="38"/>
      <c r="Y120" s="294"/>
      <c r="Z120" s="295"/>
      <c r="AA120" s="295"/>
    </row>
    <row r="121" spans="1:27" ht="29.45" hidden="1" customHeight="1" thickBot="1" x14ac:dyDescent="0.3">
      <c r="A121" s="521"/>
      <c r="B121" s="525"/>
      <c r="C121" s="496"/>
      <c r="D121" s="499"/>
      <c r="E121" s="361">
        <v>6</v>
      </c>
      <c r="F121" s="330"/>
      <c r="G121" s="209"/>
      <c r="H121" s="209"/>
      <c r="I121" s="285" t="str">
        <f t="shared" si="2"/>
        <v xml:space="preserve">  </v>
      </c>
      <c r="J121" s="208" t="s">
        <v>173</v>
      </c>
      <c r="K121" s="298">
        <f>+IFERROR(VLOOKUP($J121,'11 FORMULAS'!$B$51:$C$53,2,0),"")</f>
        <v>0.1</v>
      </c>
      <c r="L121" s="298" t="str">
        <f>+IFERROR(VLOOKUP($J121,'11 FORMULAS'!$B$51:$D$53,3,0),"")</f>
        <v>Impacto</v>
      </c>
      <c r="M121" s="358" t="s">
        <v>152</v>
      </c>
      <c r="N121" s="359">
        <f>+IFERROR(VLOOKUP($M121,'11 FORMULAS'!$B$54:$C$55,2,0),"")</f>
        <v>0.25</v>
      </c>
      <c r="O121" s="360" t="s">
        <v>164</v>
      </c>
      <c r="P121" s="360" t="s">
        <v>257</v>
      </c>
      <c r="Q121" s="360" t="s">
        <v>155</v>
      </c>
      <c r="R121" s="360" t="s">
        <v>265</v>
      </c>
      <c r="S121" s="298">
        <f t="shared" si="3"/>
        <v>0.35</v>
      </c>
      <c r="T121" s="298">
        <f>IF($L121='11 FORMULAS'!$D$51,$C$8-($C$8*$S$8),$C$8)</f>
        <v>0.6</v>
      </c>
      <c r="U121" s="298">
        <f>IF($L121='11 FORMULAS'!$D$53,D121-(D121*S121),D121)</f>
        <v>0</v>
      </c>
      <c r="V121" s="536"/>
      <c r="W121" s="539"/>
      <c r="X121" s="38"/>
    </row>
    <row r="122" spans="1:27" ht="29.45" hidden="1" customHeight="1" thickBot="1" x14ac:dyDescent="0.3">
      <c r="A122" s="518" t="str">
        <f>'2 CONTEXTO E IDENTIFICACIÓN'!A28</f>
        <v>R20</v>
      </c>
      <c r="B122" s="522" t="str">
        <f>+'2 CONTEXTO E IDENTIFICACIÓN'!J28</f>
        <v xml:space="preserve"> por a causa de </v>
      </c>
      <c r="C122" s="494" t="str">
        <f>+'3 PROBABIL E IMPACTO INHERENTE'!E28</f>
        <v/>
      </c>
      <c r="D122" s="497" t="str">
        <f>+'3 PROBABIL E IMPACTO INHERENTE'!M28</f>
        <v/>
      </c>
      <c r="E122" s="362">
        <v>1</v>
      </c>
      <c r="F122" s="328"/>
      <c r="G122" s="52"/>
      <c r="H122" s="52"/>
      <c r="I122" s="285" t="str">
        <f t="shared" si="2"/>
        <v xml:space="preserve">  </v>
      </c>
      <c r="J122" s="208" t="s">
        <v>151</v>
      </c>
      <c r="K122" s="298">
        <f>+IFERROR(VLOOKUP($J122,'11 FORMULAS'!$B$51:$C$53,2,0),"")</f>
        <v>0.25</v>
      </c>
      <c r="L122" s="298" t="str">
        <f>+IFERROR(VLOOKUP($J122,'11 FORMULAS'!$B$51:$D$53,3,0),"")</f>
        <v>Probabilidad</v>
      </c>
      <c r="M122" s="358" t="s">
        <v>152</v>
      </c>
      <c r="N122" s="359">
        <f>+IFERROR(VLOOKUP($M122,'11 FORMULAS'!$B$54:$C$55,2,0),"")</f>
        <v>0.25</v>
      </c>
      <c r="O122" s="360" t="s">
        <v>164</v>
      </c>
      <c r="P122" s="360" t="s">
        <v>257</v>
      </c>
      <c r="Q122" s="360" t="s">
        <v>155</v>
      </c>
      <c r="R122" s="360" t="s">
        <v>265</v>
      </c>
      <c r="S122" s="298">
        <f t="shared" si="3"/>
        <v>0.5</v>
      </c>
      <c r="T122" s="298">
        <f>IF($L122='11 FORMULAS'!$D$51,$C$8-($C$8*$S$8),$C$8)</f>
        <v>0.36</v>
      </c>
      <c r="U122" s="298" t="str">
        <f>IF($L122='11 FORMULAS'!$D$53,D122-(D122*S122),D122)</f>
        <v/>
      </c>
      <c r="V122" s="534">
        <f>+IF(T127="","",T127)</f>
        <v>0.36</v>
      </c>
      <c r="W122" s="537">
        <f>+IF(U127="","",U127)</f>
        <v>0</v>
      </c>
      <c r="X122" s="38"/>
      <c r="Y122" s="294"/>
      <c r="Z122" s="295"/>
      <c r="AA122" s="295"/>
    </row>
    <row r="123" spans="1:27" ht="29.45" hidden="1" customHeight="1" thickBot="1" x14ac:dyDescent="0.3">
      <c r="A123" s="519"/>
      <c r="B123" s="523"/>
      <c r="C123" s="526"/>
      <c r="D123" s="527"/>
      <c r="E123" s="357">
        <v>2</v>
      </c>
      <c r="F123" s="326"/>
      <c r="G123" s="323"/>
      <c r="H123" s="323"/>
      <c r="I123" s="285" t="str">
        <f t="shared" si="2"/>
        <v xml:space="preserve">  </v>
      </c>
      <c r="J123" s="208" t="s">
        <v>162</v>
      </c>
      <c r="K123" s="298">
        <f>+IFERROR(VLOOKUP($J123,'11 FORMULAS'!$B$51:$C$53,2,0),"")</f>
        <v>0.15</v>
      </c>
      <c r="L123" s="298" t="str">
        <f>+IFERROR(VLOOKUP($J123,'11 FORMULAS'!$B$51:$D$53,3,0),"")</f>
        <v>Probabilidad</v>
      </c>
      <c r="M123" s="358" t="s">
        <v>152</v>
      </c>
      <c r="N123" s="359">
        <f>+IFERROR(VLOOKUP($M123,'11 FORMULAS'!$B$54:$C$55,2,0),"")</f>
        <v>0.25</v>
      </c>
      <c r="O123" s="360" t="s">
        <v>164</v>
      </c>
      <c r="P123" s="360" t="s">
        <v>257</v>
      </c>
      <c r="Q123" s="360" t="s">
        <v>155</v>
      </c>
      <c r="R123" s="360" t="s">
        <v>265</v>
      </c>
      <c r="S123" s="298">
        <f t="shared" si="3"/>
        <v>0.4</v>
      </c>
      <c r="T123" s="298">
        <f>IF($L123='11 FORMULAS'!$D$51,$C$8-($C$8*$S$8),$C$8)</f>
        <v>0.36</v>
      </c>
      <c r="U123" s="298">
        <f>IF($L123='11 FORMULAS'!$D$53,D123-(D123*S123),D123)</f>
        <v>0</v>
      </c>
      <c r="V123" s="542"/>
      <c r="W123" s="543"/>
      <c r="X123" s="38"/>
      <c r="Y123" s="294"/>
      <c r="Z123" s="295"/>
      <c r="AA123" s="295"/>
    </row>
    <row r="124" spans="1:27" ht="29.45" hidden="1" customHeight="1" thickBot="1" x14ac:dyDescent="0.3">
      <c r="A124" s="519"/>
      <c r="B124" s="523"/>
      <c r="C124" s="526"/>
      <c r="D124" s="527"/>
      <c r="E124" s="357">
        <v>3</v>
      </c>
      <c r="F124" s="326"/>
      <c r="G124" s="323"/>
      <c r="H124" s="323"/>
      <c r="I124" s="285" t="str">
        <f t="shared" si="2"/>
        <v xml:space="preserve">  </v>
      </c>
      <c r="J124" s="208" t="s">
        <v>151</v>
      </c>
      <c r="K124" s="298">
        <f>+IFERROR(VLOOKUP($J124,'11 FORMULAS'!$B$51:$C$53,2,0),"")</f>
        <v>0.25</v>
      </c>
      <c r="L124" s="298" t="str">
        <f>+IFERROR(VLOOKUP($J124,'11 FORMULAS'!$B$51:$D$53,3,0),"")</f>
        <v>Probabilidad</v>
      </c>
      <c r="M124" s="358" t="s">
        <v>163</v>
      </c>
      <c r="N124" s="359">
        <f>+IFERROR(VLOOKUP($M124,'11 FORMULAS'!$B$54:$C$55,2,0),"")</f>
        <v>0.15</v>
      </c>
      <c r="O124" s="360" t="s">
        <v>164</v>
      </c>
      <c r="P124" s="360" t="s">
        <v>257</v>
      </c>
      <c r="Q124" s="360" t="s">
        <v>155</v>
      </c>
      <c r="R124" s="360" t="s">
        <v>265</v>
      </c>
      <c r="S124" s="298">
        <f t="shared" si="3"/>
        <v>0.4</v>
      </c>
      <c r="T124" s="298">
        <f>IF($L124='11 FORMULAS'!$D$51,$C$8-($C$8*$S$8),$C$8)</f>
        <v>0.36</v>
      </c>
      <c r="U124" s="298">
        <f>IF($L124='11 FORMULAS'!$D$53,D124-(D124*S124),D124)</f>
        <v>0</v>
      </c>
      <c r="V124" s="542"/>
      <c r="W124" s="543"/>
      <c r="X124" s="38"/>
      <c r="Y124" s="294"/>
      <c r="Z124" s="295"/>
      <c r="AA124" s="295"/>
    </row>
    <row r="125" spans="1:27" ht="29.45" hidden="1" customHeight="1" thickBot="1" x14ac:dyDescent="0.3">
      <c r="A125" s="520"/>
      <c r="B125" s="524"/>
      <c r="C125" s="495"/>
      <c r="D125" s="498"/>
      <c r="E125" s="357">
        <v>4</v>
      </c>
      <c r="F125" s="327"/>
      <c r="G125" s="208"/>
      <c r="H125" s="208"/>
      <c r="I125" s="285" t="str">
        <f t="shared" si="2"/>
        <v xml:space="preserve">  </v>
      </c>
      <c r="J125" s="208" t="s">
        <v>151</v>
      </c>
      <c r="K125" s="298">
        <f>+IFERROR(VLOOKUP($J125,'11 FORMULAS'!$B$51:$C$53,2,0),"")</f>
        <v>0.25</v>
      </c>
      <c r="L125" s="298" t="str">
        <f>+IFERROR(VLOOKUP($J125,'11 FORMULAS'!$B$51:$D$53,3,0),"")</f>
        <v>Probabilidad</v>
      </c>
      <c r="M125" s="358" t="s">
        <v>152</v>
      </c>
      <c r="N125" s="359">
        <f>+IFERROR(VLOOKUP($M125,'11 FORMULAS'!$B$54:$C$55,2,0),"")</f>
        <v>0.25</v>
      </c>
      <c r="O125" s="360" t="s">
        <v>164</v>
      </c>
      <c r="P125" s="360" t="s">
        <v>257</v>
      </c>
      <c r="Q125" s="360" t="s">
        <v>155</v>
      </c>
      <c r="R125" s="360" t="s">
        <v>265</v>
      </c>
      <c r="S125" s="298">
        <f t="shared" si="3"/>
        <v>0.5</v>
      </c>
      <c r="T125" s="298">
        <f>IF($L125='11 FORMULAS'!$D$51,$C$8-($C$8*$S$8),$C$8)</f>
        <v>0.36</v>
      </c>
      <c r="U125" s="298">
        <f>IF($L125='11 FORMULAS'!$D$53,D125-(D125*S125),D125)</f>
        <v>0</v>
      </c>
      <c r="V125" s="535"/>
      <c r="W125" s="538"/>
      <c r="X125" s="38"/>
      <c r="Y125" s="294"/>
      <c r="Z125" s="295"/>
      <c r="AA125" s="295"/>
    </row>
    <row r="126" spans="1:27" ht="29.45" hidden="1" customHeight="1" thickBot="1" x14ac:dyDescent="0.3">
      <c r="A126" s="520"/>
      <c r="B126" s="524"/>
      <c r="C126" s="495"/>
      <c r="D126" s="498"/>
      <c r="E126" s="357">
        <v>5</v>
      </c>
      <c r="F126" s="327"/>
      <c r="G126" s="208"/>
      <c r="H126" s="208"/>
      <c r="I126" s="285" t="str">
        <f t="shared" si="2"/>
        <v xml:space="preserve">  </v>
      </c>
      <c r="J126" s="208" t="s">
        <v>151</v>
      </c>
      <c r="K126" s="298">
        <f>+IFERROR(VLOOKUP($J126,'11 FORMULAS'!$B$51:$C$53,2,0),"")</f>
        <v>0.25</v>
      </c>
      <c r="L126" s="298" t="str">
        <f>+IFERROR(VLOOKUP($J126,'11 FORMULAS'!$B$51:$D$53,3,0),"")</f>
        <v>Probabilidad</v>
      </c>
      <c r="M126" s="358" t="s">
        <v>152</v>
      </c>
      <c r="N126" s="359">
        <f>+IFERROR(VLOOKUP($M126,'11 FORMULAS'!$B$54:$C$55,2,0),"")</f>
        <v>0.25</v>
      </c>
      <c r="O126" s="360" t="s">
        <v>164</v>
      </c>
      <c r="P126" s="360" t="s">
        <v>257</v>
      </c>
      <c r="Q126" s="360" t="s">
        <v>155</v>
      </c>
      <c r="R126" s="360" t="s">
        <v>265</v>
      </c>
      <c r="S126" s="298">
        <f t="shared" si="3"/>
        <v>0.5</v>
      </c>
      <c r="T126" s="298">
        <f>IF($L126='11 FORMULAS'!$D$51,$C$8-($C$8*$S$8),$C$8)</f>
        <v>0.36</v>
      </c>
      <c r="U126" s="298">
        <f>IF($L126='11 FORMULAS'!$D$53,D126-(D126*S126),D126)</f>
        <v>0</v>
      </c>
      <c r="V126" s="535"/>
      <c r="W126" s="538"/>
      <c r="X126" s="38"/>
      <c r="Y126" s="294"/>
      <c r="Z126" s="295"/>
      <c r="AA126" s="295"/>
    </row>
    <row r="127" spans="1:27" ht="29.45" hidden="1" customHeight="1" thickBot="1" x14ac:dyDescent="0.3">
      <c r="A127" s="521"/>
      <c r="B127" s="525"/>
      <c r="C127" s="496"/>
      <c r="D127" s="499"/>
      <c r="E127" s="361">
        <v>6</v>
      </c>
      <c r="F127" s="330"/>
      <c r="G127" s="209"/>
      <c r="H127" s="209"/>
      <c r="I127" s="285" t="str">
        <f t="shared" si="2"/>
        <v xml:space="preserve">  </v>
      </c>
      <c r="J127" s="208" t="s">
        <v>151</v>
      </c>
      <c r="K127" s="298">
        <f>+IFERROR(VLOOKUP($J127,'11 FORMULAS'!$B$51:$C$53,2,0),"")</f>
        <v>0.25</v>
      </c>
      <c r="L127" s="298" t="str">
        <f>+IFERROR(VLOOKUP($J127,'11 FORMULAS'!$B$51:$D$53,3,0),"")</f>
        <v>Probabilidad</v>
      </c>
      <c r="M127" s="358" t="s">
        <v>152</v>
      </c>
      <c r="N127" s="359">
        <f>+IFERROR(VLOOKUP($M127,'11 FORMULAS'!$B$54:$C$55,2,0),"")</f>
        <v>0.25</v>
      </c>
      <c r="O127" s="360" t="s">
        <v>164</v>
      </c>
      <c r="P127" s="360" t="s">
        <v>257</v>
      </c>
      <c r="Q127" s="360" t="s">
        <v>155</v>
      </c>
      <c r="R127" s="360" t="s">
        <v>265</v>
      </c>
      <c r="S127" s="298">
        <f t="shared" si="3"/>
        <v>0.5</v>
      </c>
      <c r="T127" s="298">
        <f>IF($L127='11 FORMULAS'!$D$51,$C$8-($C$8*$S$8),$C$8)</f>
        <v>0.36</v>
      </c>
      <c r="U127" s="298">
        <f>IF($L127='11 FORMULAS'!$D$53,D127-(D127*S127),D127)</f>
        <v>0</v>
      </c>
      <c r="V127" s="536"/>
      <c r="W127" s="539"/>
      <c r="X127" s="38"/>
    </row>
    <row r="128" spans="1:27" hidden="1" x14ac:dyDescent="0.25"/>
  </sheetData>
  <sheetProtection sheet="1" formatCells="0" formatColumns="0" formatRows="0" sort="0" autoFilter="0" pivotTables="0"/>
  <autoFilter ref="A7:X127" xr:uid="{00000000-0009-0000-0000-000005000000}"/>
  <dataConsolidate/>
  <mergeCells count="138">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8:V13"/>
    <mergeCell ref="W8:W13"/>
    <mergeCell ref="V14:V19"/>
    <mergeCell ref="W14:W1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G6" sqref="G6"/>
    </sheetView>
  </sheetViews>
  <sheetFormatPr baseColWidth="10" defaultColWidth="0" defaultRowHeight="12.75" zeroHeight="1" x14ac:dyDescent="0.25"/>
  <cols>
    <col min="1" max="1" width="11.42578125" style="68" customWidth="1"/>
    <col min="2" max="2" width="30.42578125" style="73" customWidth="1"/>
    <col min="3" max="3" width="13.42578125" style="73" customWidth="1"/>
    <col min="4" max="4" width="13" style="73" customWidth="1"/>
    <col min="5" max="5" width="16.42578125" style="118" customWidth="1"/>
    <col min="6" max="6" width="11.28515625" style="118" customWidth="1"/>
    <col min="7" max="7" width="15.42578125" style="73" customWidth="1"/>
    <col min="8" max="8" width="10.140625" style="73" bestFit="1" customWidth="1"/>
    <col min="9" max="9" width="7.42578125" style="73" customWidth="1"/>
    <col min="10" max="10" width="14" style="73" customWidth="1"/>
    <col min="11" max="15" width="12.42578125" style="73" customWidth="1"/>
    <col min="16" max="16" width="3.85546875" style="73" customWidth="1"/>
    <col min="17" max="17" width="4.85546875" style="68" customWidth="1"/>
    <col min="18" max="18" width="5.85546875" style="68" bestFit="1" customWidth="1"/>
    <col min="19" max="24" width="14" style="68" customWidth="1"/>
    <col min="25" max="25" width="11.42578125" style="68" customWidth="1"/>
    <col min="26" max="29" width="11.42578125" style="68" hidden="1" customWidth="1"/>
    <col min="30" max="30" width="5.42578125" style="68" hidden="1" customWidth="1"/>
    <col min="31" max="31" width="26.85546875" style="68" hidden="1" customWidth="1"/>
    <col min="32"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79"/>
      <c r="B1" s="485" t="str">
        <f>+'2 CONTEXTO E IDENTIFICACIÓN'!A1</f>
        <v>MAPA DE RIESGOS</v>
      </c>
      <c r="C1" s="475"/>
      <c r="D1" s="476"/>
      <c r="E1" s="113"/>
      <c r="F1" s="3"/>
      <c r="G1" s="218" t="str">
        <f>+'2 CONTEXTO E IDENTIFICACIÓN'!$I$4</f>
        <v>Elaboración o Actualización:</v>
      </c>
      <c r="H1" s="232">
        <f>'2 CONTEXTO E IDENTIFICACIÓN'!J4</f>
        <v>0</v>
      </c>
      <c r="I1" s="13"/>
      <c r="J1" s="13"/>
      <c r="AF1" s="57"/>
      <c r="AG1" s="57"/>
      <c r="AH1" s="57"/>
      <c r="AI1" s="57"/>
      <c r="AJ1" s="57"/>
    </row>
    <row r="2" spans="1:38" s="56" customFormat="1" ht="36" customHeight="1" x14ac:dyDescent="0.2">
      <c r="A2" s="479"/>
      <c r="B2" s="485"/>
      <c r="C2" s="39" t="str">
        <f>+'2 CONTEXTO E IDENTIFICACIÓN'!A2</f>
        <v>VERSIÓN:</v>
      </c>
      <c r="D2" s="112">
        <f>'2 CONTEXTO E IDENTIFICACIÓN'!B2</f>
        <v>0</v>
      </c>
      <c r="E2" s="113"/>
      <c r="G2" s="221" t="str">
        <f>+'2 CONTEXTO E IDENTIFICACIÓN'!$E$5</f>
        <v xml:space="preserve">Vigencia: </v>
      </c>
      <c r="H2" s="219">
        <f>'2 CONTEXTO E IDENTIFICACIÓN'!G5</f>
        <v>0</v>
      </c>
      <c r="I2" s="220" t="s">
        <v>100</v>
      </c>
      <c r="J2" s="217">
        <f>'2 CONTEXTO E IDENTIFICACIÓN'!J5</f>
        <v>0</v>
      </c>
      <c r="K2" s="59"/>
      <c r="L2" s="59"/>
      <c r="M2" s="59"/>
      <c r="N2" s="59"/>
      <c r="O2" s="59"/>
      <c r="P2" s="58"/>
      <c r="AF2" s="57"/>
      <c r="AG2" s="57"/>
      <c r="AH2" s="57"/>
      <c r="AI2" s="57"/>
      <c r="AJ2" s="57"/>
    </row>
    <row r="3" spans="1:38" s="56" customFormat="1" x14ac:dyDescent="0.2">
      <c r="A3" s="60"/>
      <c r="B3" s="58"/>
      <c r="C3" s="222"/>
      <c r="D3" s="222"/>
      <c r="E3" s="113"/>
      <c r="F3" s="235"/>
      <c r="G3" s="235"/>
      <c r="H3" s="236"/>
      <c r="I3" s="237"/>
      <c r="J3" s="215"/>
      <c r="K3" s="59"/>
      <c r="L3" s="59"/>
      <c r="M3" s="59"/>
      <c r="N3" s="59"/>
      <c r="O3" s="59"/>
      <c r="P3" s="58"/>
      <c r="AF3" s="57"/>
      <c r="AG3" s="57"/>
      <c r="AH3" s="57"/>
      <c r="AI3" s="57"/>
      <c r="AJ3" s="57"/>
    </row>
    <row r="4" spans="1:38" s="56" customFormat="1" ht="15" x14ac:dyDescent="0.2">
      <c r="A4" s="12" t="s">
        <v>95</v>
      </c>
      <c r="B4" s="465">
        <f>'2 CONTEXTO E IDENTIFICACIÓN'!B4</f>
        <v>0</v>
      </c>
      <c r="C4" s="465"/>
      <c r="D4" s="465"/>
      <c r="E4" s="54"/>
      <c r="F4" s="114"/>
      <c r="AF4" s="57"/>
      <c r="AG4" s="57"/>
      <c r="AH4" s="57"/>
      <c r="AI4" s="57"/>
      <c r="AJ4" s="57"/>
    </row>
    <row r="5" spans="1:38" s="56" customFormat="1" ht="30.75" thickBot="1" x14ac:dyDescent="0.25">
      <c r="A5" s="12" t="s">
        <v>96</v>
      </c>
      <c r="B5" s="465">
        <f>'2 CONTEXTO E IDENTIFICACIÓN'!F4</f>
        <v>0</v>
      </c>
      <c r="C5" s="466"/>
      <c r="D5" s="466"/>
      <c r="E5" s="54"/>
      <c r="F5" s="114"/>
      <c r="AF5" s="57"/>
      <c r="AG5" s="57"/>
      <c r="AH5" s="57"/>
      <c r="AI5" s="57"/>
      <c r="AJ5" s="57"/>
    </row>
    <row r="6" spans="1:38" s="56" customFormat="1" ht="13.5" thickBot="1" x14ac:dyDescent="0.25">
      <c r="D6" s="58"/>
      <c r="E6" s="41"/>
      <c r="F6" s="114"/>
      <c r="I6" s="486" t="s">
        <v>340</v>
      </c>
      <c r="J6" s="487"/>
      <c r="K6" s="487"/>
      <c r="L6" s="487"/>
      <c r="M6" s="487"/>
      <c r="N6" s="487"/>
      <c r="O6" s="488"/>
      <c r="R6" s="61"/>
      <c r="S6" s="62"/>
      <c r="T6" s="477" t="s">
        <v>176</v>
      </c>
      <c r="U6" s="477"/>
      <c r="V6" s="477"/>
      <c r="W6" s="477"/>
      <c r="X6" s="478"/>
      <c r="AF6" s="57"/>
      <c r="AG6" s="57"/>
      <c r="AH6" s="57"/>
      <c r="AI6" s="57"/>
      <c r="AJ6" s="57"/>
    </row>
    <row r="7" spans="1:38" x14ac:dyDescent="0.25">
      <c r="A7" s="115"/>
      <c r="B7" s="115"/>
      <c r="C7" s="65"/>
      <c r="D7" s="115"/>
      <c r="E7" s="480" t="s">
        <v>341</v>
      </c>
      <c r="F7" s="480"/>
      <c r="G7" s="480"/>
      <c r="H7" s="65"/>
      <c r="I7" s="66"/>
      <c r="J7" s="67"/>
      <c r="K7" s="477" t="s">
        <v>176</v>
      </c>
      <c r="L7" s="477"/>
      <c r="M7" s="477"/>
      <c r="N7" s="477"/>
      <c r="O7" s="478"/>
      <c r="P7" s="65"/>
      <c r="R7" s="69"/>
      <c r="T7" s="70">
        <v>0.2</v>
      </c>
      <c r="U7" s="70">
        <v>0.4</v>
      </c>
      <c r="V7" s="70">
        <v>0.6</v>
      </c>
      <c r="W7" s="70">
        <v>0.8</v>
      </c>
      <c r="X7" s="71">
        <v>1</v>
      </c>
      <c r="Y7" s="72"/>
      <c r="Z7" s="72"/>
      <c r="AA7" s="72"/>
      <c r="AB7" s="72"/>
      <c r="AC7" s="72"/>
      <c r="AD7" s="72"/>
      <c r="AE7" s="72"/>
    </row>
    <row r="8" spans="1:38" ht="39.950000000000003" customHeight="1" x14ac:dyDescent="0.2">
      <c r="A8" s="76" t="s">
        <v>273</v>
      </c>
      <c r="B8" s="76" t="s">
        <v>315</v>
      </c>
      <c r="C8" s="76" t="s">
        <v>342</v>
      </c>
      <c r="D8" s="76" t="s">
        <v>342</v>
      </c>
      <c r="E8" s="76" t="s">
        <v>157</v>
      </c>
      <c r="F8" s="76" t="s">
        <v>176</v>
      </c>
      <c r="G8" s="76" t="s">
        <v>343</v>
      </c>
      <c r="H8" s="65"/>
      <c r="I8" s="69"/>
      <c r="J8" s="78"/>
      <c r="K8" s="79" t="s">
        <v>290</v>
      </c>
      <c r="L8" s="79" t="s">
        <v>294</v>
      </c>
      <c r="M8" s="79" t="s">
        <v>298</v>
      </c>
      <c r="N8" s="79" t="s">
        <v>303</v>
      </c>
      <c r="O8" s="80" t="s">
        <v>308</v>
      </c>
      <c r="P8" s="65"/>
      <c r="R8" s="69"/>
      <c r="S8" s="81"/>
      <c r="T8" s="82" t="s">
        <v>290</v>
      </c>
      <c r="U8" s="82" t="s">
        <v>294</v>
      </c>
      <c r="V8" s="82" t="s">
        <v>298</v>
      </c>
      <c r="W8" s="82" t="s">
        <v>303</v>
      </c>
      <c r="X8" s="83" t="s">
        <v>308</v>
      </c>
      <c r="AA8" s="72"/>
      <c r="AB8" s="72"/>
      <c r="AC8" s="84"/>
      <c r="AD8" s="84"/>
      <c r="AE8" s="84"/>
      <c r="AF8" s="84"/>
      <c r="AG8" s="84"/>
      <c r="AH8" s="84"/>
      <c r="AI8" s="84"/>
      <c r="AJ8" s="84"/>
      <c r="AK8" s="84"/>
      <c r="AL8" s="84"/>
    </row>
    <row r="9" spans="1:38" ht="93" customHeight="1" x14ac:dyDescent="0.2">
      <c r="A9" s="85" t="str">
        <f>'2 CONTEXTO E IDENTIFICACIÓN'!A9</f>
        <v>R1</v>
      </c>
      <c r="B9" s="86" t="str">
        <f>+'2 CONTEXTO E IDENTIFICACIÓN'!J9</f>
        <v>Posibilidad de perdida de confidencialidad por acceso indebido a la información reservada y clasificada de los servidores y exservidores de la Entidad a causa de la falta de control en el prestamo y custadia de las Historias Laborales.</v>
      </c>
      <c r="C9" s="116">
        <f>+'5 VALORACIÓN DEL CONTROL'!T13</f>
        <v>0.36</v>
      </c>
      <c r="D9" s="87">
        <f>+'5 VALORACIÓN DEL CONTROL'!U13</f>
        <v>0.4</v>
      </c>
      <c r="E9" s="117" t="str">
        <f>+IF(C9=0,"",IF(C9&lt;=$R$13,$S$13,IF(C9&lt;=$R$12,$S$12,IF(C9&lt;=$R$11,$S$11,IF(C9&lt;=$R$10,$S$10,IF(C9&lt;=$R$9,$S$9,""))))))</f>
        <v>Baja</v>
      </c>
      <c r="F9" s="117" t="str">
        <f>+IF(D9=0,"",IF(D9&lt;=$T$7,$T$8,IF(D9&lt;=$U$7,$U$8,IF(D9&lt;=$V$7,$V$8,IF(D9&lt;=$W$7,$W$8,IF(D9&lt;=$X$7,$X$8,""))))))</f>
        <v>Menor</v>
      </c>
      <c r="G9" s="86"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8"/>
      <c r="I9" s="483" t="s">
        <v>157</v>
      </c>
      <c r="J9" s="79" t="s">
        <v>306</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44" t="s">
        <v>157</v>
      </c>
      <c r="R9" s="91">
        <v>1</v>
      </c>
      <c r="S9" s="82" t="s">
        <v>306</v>
      </c>
      <c r="T9" s="89" t="s">
        <v>316</v>
      </c>
      <c r="U9" s="89" t="s">
        <v>316</v>
      </c>
      <c r="V9" s="89" t="s">
        <v>316</v>
      </c>
      <c r="W9" s="89" t="s">
        <v>316</v>
      </c>
      <c r="X9" s="90" t="s">
        <v>317</v>
      </c>
      <c r="AA9" s="72"/>
      <c r="AB9" s="72"/>
      <c r="AC9" s="84"/>
      <c r="AD9" s="84"/>
      <c r="AE9" s="84"/>
      <c r="AF9" s="92"/>
      <c r="AG9" s="92"/>
      <c r="AH9" s="92"/>
      <c r="AI9" s="92"/>
      <c r="AJ9" s="92"/>
      <c r="AK9" s="84"/>
      <c r="AL9" s="84"/>
    </row>
    <row r="10" spans="1:38" ht="93" customHeight="1" x14ac:dyDescent="0.2">
      <c r="A10" s="85" t="str">
        <f>'2 CONTEXTO E IDENTIFICACIÓN'!A10</f>
        <v>R2</v>
      </c>
      <c r="B10" s="86" t="str">
        <f>+'2 CONTEXTO E IDENTIFICACIÓN'!J10</f>
        <v>Posibilidad de afectación económica y reputacional por incumplimiento en la realización de las actividades del Plan Anual de trabajo de SG-SST a causa de falta de seguimiento al cumplimiento de las tareas programadas.</v>
      </c>
      <c r="C10" s="116">
        <f>+'5 VALORACIÓN DEL CONTROL'!T19</f>
        <v>0.36</v>
      </c>
      <c r="D10" s="87">
        <f>+'5 VALORACIÓN DEL CONTROL'!U19</f>
        <v>0.6</v>
      </c>
      <c r="E10" s="117" t="str">
        <f t="shared" ref="E10:E28" si="0">+IF(C10=0,"",IF(C10&lt;=$R$13,$S$13,IF(C10&lt;=$R$12,$S$12,IF(C10&lt;=$R$11,$S$11,IF(C10&lt;=$R$10,$S$10,IF(C10&lt;=$R$9,$S$9,""))))))</f>
        <v>Baja</v>
      </c>
      <c r="F10" s="117" t="str">
        <f t="shared" ref="F10:F28" si="1">+IF(D10=0,"",IF(D10&lt;=$T$7,$T$8,IF(D10&lt;=$U$7,$U$8,IF(D10&lt;=$V$7,$V$8,IF(D10&lt;=$W$7,$W$8,IF(D10&lt;=$X$7,$X$8,""))))))</f>
        <v>Moderado</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88"/>
      <c r="I10" s="483"/>
      <c r="J10" s="79" t="s">
        <v>301</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44"/>
      <c r="R10" s="91">
        <v>0.8</v>
      </c>
      <c r="S10" s="82" t="s">
        <v>301</v>
      </c>
      <c r="T10" s="93" t="s">
        <v>298</v>
      </c>
      <c r="U10" s="93" t="s">
        <v>298</v>
      </c>
      <c r="V10" s="89" t="s">
        <v>316</v>
      </c>
      <c r="W10" s="89" t="s">
        <v>316</v>
      </c>
      <c r="X10" s="90" t="s">
        <v>317</v>
      </c>
      <c r="AA10" s="72"/>
      <c r="AB10" s="72"/>
      <c r="AC10" s="84"/>
      <c r="AD10" s="94"/>
      <c r="AE10" s="95"/>
      <c r="AF10" s="92"/>
      <c r="AG10" s="92"/>
      <c r="AH10" s="92"/>
      <c r="AI10" s="92"/>
      <c r="AJ10" s="92"/>
      <c r="AK10" s="84"/>
      <c r="AL10" s="84"/>
    </row>
    <row r="11" spans="1:38" ht="93" customHeight="1" x14ac:dyDescent="0.2">
      <c r="A11" s="85" t="str">
        <f>'2 CONTEXTO E IDENTIFICACIÓN'!A11</f>
        <v>R3</v>
      </c>
      <c r="B11" s="86" t="str">
        <f>+'2 CONTEXTO E IDENTIFICACIÓN'!J11</f>
        <v>Posibilidad de afectación económica y reputacional por inconsistencias en el calculo, liquidación y pago de la nómina y la seguridad social a causa de la no inclusión de novedades generadas.</v>
      </c>
      <c r="C11" s="116">
        <f>+'5 VALORACIÓN DEL CONTROL'!T25</f>
        <v>0.36</v>
      </c>
      <c r="D11" s="87">
        <f>+'5 VALORACIÓN DEL CONTROL'!U25</f>
        <v>0.4</v>
      </c>
      <c r="E11" s="117" t="str">
        <f t="shared" si="0"/>
        <v>Baja</v>
      </c>
      <c r="F11" s="117" t="str">
        <f t="shared" si="1"/>
        <v>Menor</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8"/>
      <c r="I11" s="483"/>
      <c r="J11" s="79" t="s">
        <v>296</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44"/>
      <c r="R11" s="91">
        <v>0.6</v>
      </c>
      <c r="S11" s="82" t="s">
        <v>296</v>
      </c>
      <c r="T11" s="93" t="s">
        <v>298</v>
      </c>
      <c r="U11" s="93" t="s">
        <v>298</v>
      </c>
      <c r="V11" s="93" t="s">
        <v>298</v>
      </c>
      <c r="W11" s="89" t="s">
        <v>316</v>
      </c>
      <c r="X11" s="90" t="s">
        <v>317</v>
      </c>
      <c r="AA11" s="72"/>
      <c r="AB11" s="72"/>
      <c r="AC11" s="84"/>
      <c r="AD11" s="94"/>
      <c r="AE11" s="95"/>
      <c r="AF11" s="92"/>
      <c r="AG11" s="92"/>
      <c r="AH11" s="92"/>
      <c r="AI11" s="92"/>
      <c r="AJ11" s="96"/>
      <c r="AK11" s="84"/>
      <c r="AL11" s="84"/>
    </row>
    <row r="12" spans="1:38" ht="93" customHeight="1" x14ac:dyDescent="0.2">
      <c r="A12" s="85" t="str">
        <f>'2 CONTEXTO E IDENTIFICACIÓN'!A12</f>
        <v>R4</v>
      </c>
      <c r="B12" s="86" t="str">
        <f>+'2 CONTEXTO E IDENTIFICACIÓN'!J12</f>
        <v>Posibilidad de pérdida reputacional por vincular en la planta de personal o inscribir como liquidadores, agentes especiales, contralores o revisores fiscales, a aspirantes sin el cumplimiento de los requisitos a causa de la falta de verficación de los soportes presentados por los aspirantes.</v>
      </c>
      <c r="C12" s="116">
        <f>+'5 VALORACIÓN DEL CONTROL'!T31</f>
        <v>0.36</v>
      </c>
      <c r="D12" s="87">
        <f>+'5 VALORACIÓN DEL CONTROL'!U31</f>
        <v>0.6</v>
      </c>
      <c r="E12" s="117" t="str">
        <f t="shared" si="0"/>
        <v>Baja</v>
      </c>
      <c r="F12" s="117" t="str">
        <f t="shared" si="1"/>
        <v>Moderado</v>
      </c>
      <c r="G12" s="8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Moderado</v>
      </c>
      <c r="H12" s="88"/>
      <c r="I12" s="483"/>
      <c r="J12" s="79" t="s">
        <v>292</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R1  R3  R5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R2  R4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8"/>
      <c r="Q12" s="544"/>
      <c r="R12" s="91">
        <v>0.4</v>
      </c>
      <c r="S12" s="82" t="s">
        <v>292</v>
      </c>
      <c r="T12" s="97" t="s">
        <v>318</v>
      </c>
      <c r="U12" s="93" t="s">
        <v>298</v>
      </c>
      <c r="V12" s="93" t="s">
        <v>298</v>
      </c>
      <c r="W12" s="89" t="s">
        <v>316</v>
      </c>
      <c r="X12" s="90" t="s">
        <v>317</v>
      </c>
      <c r="AA12" s="72"/>
      <c r="AB12" s="72"/>
      <c r="AC12" s="84"/>
      <c r="AD12" s="94"/>
      <c r="AE12" s="95"/>
      <c r="AF12" s="92"/>
      <c r="AG12" s="92"/>
      <c r="AH12" s="92"/>
      <c r="AI12" s="96"/>
      <c r="AJ12" s="92"/>
      <c r="AK12" s="84"/>
      <c r="AL12" s="84"/>
    </row>
    <row r="13" spans="1:38" ht="93" customHeight="1" thickBot="1" x14ac:dyDescent="0.25">
      <c r="A13" s="85" t="str">
        <f>'2 CONTEXTO E IDENTIFICACIÓN'!A13</f>
        <v>R5</v>
      </c>
      <c r="B13" s="86" t="str">
        <f>+'2 CONTEXTO E IDENTIFICACIÓN'!J13</f>
        <v>Posibilidad  de efecto dañoso sobre el recurso público por no gestionar el cobro de las incapacidades de manera oportuna a causa de deficiencias en el seguimiento al tramite ante las EPS</v>
      </c>
      <c r="C13" s="116">
        <f>+'5 VALORACIÓN DEL CONTROL'!T37</f>
        <v>0.36</v>
      </c>
      <c r="D13" s="87">
        <f>+'5 VALORACIÓN DEL CONTROL'!U37</f>
        <v>0.4</v>
      </c>
      <c r="E13" s="117" t="str">
        <f t="shared" si="0"/>
        <v>Baja</v>
      </c>
      <c r="F13" s="117" t="str">
        <f t="shared" si="1"/>
        <v>Menor</v>
      </c>
      <c r="G13" s="86" t="str">
        <f t="shared" si="2"/>
        <v>Moderado</v>
      </c>
      <c r="H13" s="88"/>
      <c r="I13" s="484"/>
      <c r="J13" s="98" t="s">
        <v>288</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44"/>
      <c r="R13" s="103">
        <v>0.2</v>
      </c>
      <c r="S13" s="104" t="s">
        <v>288</v>
      </c>
      <c r="T13" s="99" t="s">
        <v>318</v>
      </c>
      <c r="U13" s="99" t="s">
        <v>318</v>
      </c>
      <c r="V13" s="100" t="s">
        <v>298</v>
      </c>
      <c r="W13" s="101" t="s">
        <v>316</v>
      </c>
      <c r="X13" s="102" t="s">
        <v>317</v>
      </c>
      <c r="AA13" s="72"/>
      <c r="AB13" s="72"/>
      <c r="AC13" s="84"/>
      <c r="AD13" s="94"/>
      <c r="AE13" s="95"/>
      <c r="AF13" s="92"/>
      <c r="AG13" s="92"/>
      <c r="AH13" s="92"/>
      <c r="AI13" s="105"/>
      <c r="AJ13" s="92"/>
      <c r="AK13" s="84"/>
      <c r="AL13" s="84"/>
    </row>
    <row r="14" spans="1:38" ht="93" customHeight="1" x14ac:dyDescent="0.2">
      <c r="A14" s="85" t="str">
        <f>'2 CONTEXTO E IDENTIFICACIÓN'!A14</f>
        <v>R6</v>
      </c>
      <c r="B14" s="86" t="str">
        <f>+'2 CONTEXTO E IDENTIFICACIÓN'!J14</f>
        <v xml:space="preserve"> por a causa de </v>
      </c>
      <c r="C14" s="116">
        <f>+'5 VALORACIÓN DEL CONTROL'!T43</f>
        <v>0.36</v>
      </c>
      <c r="D14" s="87" t="str">
        <f>+'5 VALORACIÓN DEL CONTROL'!U43</f>
        <v/>
      </c>
      <c r="E14" s="117" t="str">
        <f t="shared" si="0"/>
        <v>Baja</v>
      </c>
      <c r="F14" s="117" t="str">
        <f t="shared" si="1"/>
        <v/>
      </c>
      <c r="G14" s="86" t="b">
        <f t="shared" si="2"/>
        <v>0</v>
      </c>
      <c r="H14" s="88"/>
      <c r="I14" s="88"/>
      <c r="J14" s="88"/>
      <c r="K14" s="88"/>
      <c r="L14" s="88"/>
      <c r="M14" s="88"/>
      <c r="N14" s="88"/>
      <c r="O14" s="88"/>
      <c r="P14" s="88"/>
      <c r="AA14" s="72"/>
      <c r="AB14" s="72"/>
      <c r="AC14" s="84"/>
      <c r="AD14" s="94"/>
      <c r="AE14" s="95"/>
      <c r="AF14" s="92"/>
      <c r="AG14" s="92"/>
      <c r="AH14" s="92"/>
      <c r="AI14" s="92"/>
      <c r="AJ14" s="92"/>
      <c r="AK14" s="84"/>
      <c r="AL14" s="84"/>
    </row>
    <row r="15" spans="1:38" ht="93" customHeight="1" x14ac:dyDescent="0.2">
      <c r="A15" s="85" t="str">
        <f>'2 CONTEXTO E IDENTIFICACIÓN'!A15</f>
        <v>R7</v>
      </c>
      <c r="B15" s="86" t="str">
        <f>+'2 CONTEXTO E IDENTIFICACIÓN'!J15</f>
        <v xml:space="preserve"> por a causa de </v>
      </c>
      <c r="C15" s="116">
        <f>+'5 VALORACIÓN DEL CONTROL'!T49</f>
        <v>0.36</v>
      </c>
      <c r="D15" s="87" t="str">
        <f>+'5 VALORACIÓN DEL CONTROL'!U49</f>
        <v/>
      </c>
      <c r="E15" s="117" t="str">
        <f t="shared" si="0"/>
        <v>Baja</v>
      </c>
      <c r="F15" s="117" t="str">
        <f t="shared" si="1"/>
        <v/>
      </c>
      <c r="G15" s="86" t="b">
        <f t="shared" si="2"/>
        <v>0</v>
      </c>
      <c r="H15" s="88"/>
      <c r="I15" s="88"/>
      <c r="J15" s="88"/>
      <c r="K15" s="88"/>
      <c r="L15" s="88"/>
      <c r="M15" s="88"/>
      <c r="N15" s="88"/>
      <c r="O15" s="88"/>
      <c r="P15" s="88"/>
      <c r="T15" s="76" t="s">
        <v>319</v>
      </c>
      <c r="V15" s="72"/>
      <c r="W15" s="72"/>
      <c r="X15" s="72"/>
      <c r="Y15" s="72"/>
      <c r="Z15" s="72"/>
      <c r="AA15" s="72"/>
      <c r="AB15" s="72"/>
      <c r="AC15" s="84"/>
      <c r="AD15" s="94"/>
      <c r="AE15" s="84"/>
      <c r="AF15" s="95"/>
      <c r="AG15" s="95"/>
      <c r="AH15" s="95"/>
      <c r="AI15" s="95"/>
      <c r="AJ15" s="95"/>
      <c r="AK15" s="84"/>
      <c r="AL15" s="84"/>
    </row>
    <row r="16" spans="1:38" ht="93" customHeight="1" x14ac:dyDescent="0.2">
      <c r="A16" s="85" t="str">
        <f>'2 CONTEXTO E IDENTIFICACIÓN'!A16</f>
        <v>R8</v>
      </c>
      <c r="B16" s="86" t="str">
        <f>+'2 CONTEXTO E IDENTIFICACIÓN'!J16</f>
        <v xml:space="preserve"> por a causa de </v>
      </c>
      <c r="C16" s="116">
        <f>+'5 VALORACIÓN DEL CONTROL'!T55</f>
        <v>0.36</v>
      </c>
      <c r="D16" s="87" t="str">
        <f>+'5 VALORACIÓN DEL CONTROL'!U55</f>
        <v/>
      </c>
      <c r="E16" s="117" t="str">
        <f t="shared" si="0"/>
        <v>Baja</v>
      </c>
      <c r="F16" s="117" t="str">
        <f t="shared" si="1"/>
        <v/>
      </c>
      <c r="G16" s="86" t="b">
        <f t="shared" si="2"/>
        <v>0</v>
      </c>
      <c r="H16" s="88"/>
      <c r="I16" s="88"/>
      <c r="J16" s="88"/>
      <c r="K16" s="88"/>
      <c r="L16" s="88"/>
      <c r="M16" s="88"/>
      <c r="N16" s="88"/>
      <c r="O16" s="88"/>
      <c r="P16" s="88"/>
      <c r="T16" s="106" t="s">
        <v>317</v>
      </c>
      <c r="V16" s="72"/>
      <c r="W16" s="72"/>
      <c r="X16" s="72"/>
      <c r="Y16" s="72"/>
      <c r="Z16" s="72"/>
      <c r="AA16" s="72"/>
      <c r="AB16" s="72"/>
      <c r="AC16" s="84"/>
      <c r="AD16" s="84"/>
      <c r="AE16" s="84"/>
      <c r="AF16" s="92"/>
      <c r="AG16" s="92"/>
      <c r="AH16" s="92"/>
      <c r="AI16" s="92"/>
      <c r="AJ16" s="92"/>
      <c r="AK16" s="84"/>
      <c r="AL16" s="84"/>
    </row>
    <row r="17" spans="1:38" ht="93" customHeight="1" x14ac:dyDescent="0.2">
      <c r="A17" s="85" t="str">
        <f>'2 CONTEXTO E IDENTIFICACIÓN'!A17</f>
        <v>R9</v>
      </c>
      <c r="B17" s="86" t="str">
        <f>+'2 CONTEXTO E IDENTIFICACIÓN'!J17</f>
        <v xml:space="preserve"> por a causa de </v>
      </c>
      <c r="C17" s="116">
        <f>+'5 VALORACIÓN DEL CONTROL'!T61</f>
        <v>0.36</v>
      </c>
      <c r="D17" s="87" t="str">
        <f>+'5 VALORACIÓN DEL CONTROL'!U61</f>
        <v/>
      </c>
      <c r="E17" s="117" t="str">
        <f t="shared" si="0"/>
        <v>Baja</v>
      </c>
      <c r="F17" s="117" t="str">
        <f t="shared" si="1"/>
        <v/>
      </c>
      <c r="G17" s="86" t="b">
        <f t="shared" si="2"/>
        <v>0</v>
      </c>
      <c r="H17" s="88"/>
      <c r="I17" s="88"/>
      <c r="J17" s="88"/>
      <c r="K17" s="88"/>
      <c r="L17" s="88"/>
      <c r="M17" s="88"/>
      <c r="N17" s="88"/>
      <c r="O17" s="88"/>
      <c r="P17" s="88"/>
      <c r="T17" s="89" t="s">
        <v>316</v>
      </c>
      <c r="U17" s="72"/>
      <c r="V17" s="72"/>
      <c r="W17" s="72"/>
      <c r="X17" s="72"/>
      <c r="Y17" s="72"/>
      <c r="Z17" s="72"/>
      <c r="AA17" s="72"/>
      <c r="AB17" s="72"/>
      <c r="AC17" s="84"/>
      <c r="AD17" s="84"/>
      <c r="AE17" s="84"/>
      <c r="AF17" s="92"/>
      <c r="AG17" s="92"/>
      <c r="AH17" s="92"/>
      <c r="AI17" s="92"/>
      <c r="AJ17" s="92"/>
      <c r="AK17" s="84"/>
      <c r="AL17" s="84"/>
    </row>
    <row r="18" spans="1:38" ht="93" customHeight="1" x14ac:dyDescent="0.2">
      <c r="A18" s="85" t="str">
        <f>'2 CONTEXTO E IDENTIFICACIÓN'!A18</f>
        <v>R10</v>
      </c>
      <c r="B18" s="86" t="str">
        <f>+'2 CONTEXTO E IDENTIFICACIÓN'!J18</f>
        <v xml:space="preserve"> por a causa de </v>
      </c>
      <c r="C18" s="116">
        <f>+'5 VALORACIÓN DEL CONTROL'!T67</f>
        <v>0.36</v>
      </c>
      <c r="D18" s="87" t="str">
        <f>+'5 VALORACIÓN DEL CONTROL'!U67</f>
        <v/>
      </c>
      <c r="E18" s="117" t="str">
        <f t="shared" si="0"/>
        <v>Baja</v>
      </c>
      <c r="F18" s="117" t="str">
        <f t="shared" si="1"/>
        <v/>
      </c>
      <c r="G18" s="86" t="b">
        <f t="shared" si="2"/>
        <v>0</v>
      </c>
      <c r="H18" s="88"/>
      <c r="I18" s="88"/>
      <c r="J18" s="88"/>
      <c r="K18" s="88"/>
      <c r="L18" s="88"/>
      <c r="M18" s="88"/>
      <c r="N18" s="88"/>
      <c r="O18" s="88"/>
      <c r="P18" s="88"/>
      <c r="S18" s="107"/>
      <c r="T18" s="93" t="s">
        <v>298</v>
      </c>
      <c r="U18" s="107"/>
      <c r="V18" s="107"/>
      <c r="W18" s="107"/>
      <c r="X18" s="107"/>
      <c r="Y18" s="107"/>
      <c r="Z18" s="107"/>
      <c r="AA18" s="107"/>
      <c r="AB18" s="107"/>
      <c r="AC18" s="84"/>
      <c r="AD18" s="84"/>
      <c r="AE18" s="108"/>
      <c r="AF18" s="108"/>
      <c r="AG18" s="108"/>
      <c r="AH18" s="108"/>
      <c r="AI18" s="108"/>
      <c r="AJ18" s="108"/>
      <c r="AK18" s="84"/>
      <c r="AL18" s="84"/>
    </row>
    <row r="19" spans="1:38" ht="93" customHeight="1" x14ac:dyDescent="0.2">
      <c r="A19" s="85" t="str">
        <f>'2 CONTEXTO E IDENTIFICACIÓN'!A19</f>
        <v>R11</v>
      </c>
      <c r="B19" s="86" t="str">
        <f>+'2 CONTEXTO E IDENTIFICACIÓN'!J19</f>
        <v xml:space="preserve"> por a causa de </v>
      </c>
      <c r="C19" s="116">
        <f>+'5 VALORACIÓN DEL CONTROL'!T73</f>
        <v>0.36</v>
      </c>
      <c r="D19" s="87" t="str">
        <f>+'5 VALORACIÓN DEL CONTROL'!U73</f>
        <v/>
      </c>
      <c r="E19" s="117" t="str">
        <f t="shared" si="0"/>
        <v>Baja</v>
      </c>
      <c r="F19" s="117" t="str">
        <f t="shared" si="1"/>
        <v/>
      </c>
      <c r="G19" s="86" t="b">
        <f t="shared" si="2"/>
        <v>0</v>
      </c>
      <c r="H19" s="88"/>
      <c r="I19" s="88"/>
      <c r="J19" s="88"/>
      <c r="K19" s="88"/>
      <c r="L19" s="88"/>
      <c r="M19" s="88"/>
      <c r="N19" s="88"/>
      <c r="O19" s="88"/>
      <c r="P19" s="88"/>
      <c r="S19" s="107"/>
      <c r="T19" s="97" t="s">
        <v>318</v>
      </c>
      <c r="AA19" s="107"/>
      <c r="AB19" s="107"/>
      <c r="AC19" s="84"/>
      <c r="AD19" s="84"/>
      <c r="AE19" s="84"/>
      <c r="AF19" s="92"/>
      <c r="AG19" s="92"/>
      <c r="AH19" s="92"/>
      <c r="AI19" s="92"/>
      <c r="AJ19" s="92"/>
      <c r="AK19" s="84"/>
      <c r="AL19" s="84"/>
    </row>
    <row r="20" spans="1:38" ht="93" customHeight="1" x14ac:dyDescent="0.2">
      <c r="A20" s="85" t="str">
        <f>'2 CONTEXTO E IDENTIFICACIÓN'!A20</f>
        <v>R12</v>
      </c>
      <c r="B20" s="86" t="str">
        <f>+'2 CONTEXTO E IDENTIFICACIÓN'!J20</f>
        <v xml:space="preserve"> por a causa de </v>
      </c>
      <c r="C20" s="116">
        <f>+'5 VALORACIÓN DEL CONTROL'!T79</f>
        <v>0.36</v>
      </c>
      <c r="D20" s="87" t="str">
        <f>+'5 VALORACIÓN DEL CONTROL'!U79</f>
        <v/>
      </c>
      <c r="E20" s="117" t="str">
        <f t="shared" si="0"/>
        <v>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customHeight="1" x14ac:dyDescent="0.2">
      <c r="A21" s="85" t="str">
        <f>'2 CONTEXTO E IDENTIFICACIÓN'!A21</f>
        <v>R13</v>
      </c>
      <c r="B21" s="86" t="str">
        <f>+'2 CONTEXTO E IDENTIFICACIÓN'!J21</f>
        <v xml:space="preserve"> por a causa de </v>
      </c>
      <c r="C21" s="116">
        <f>+'5 VALORACIÓN DEL CONTROL'!T85</f>
        <v>0.36</v>
      </c>
      <c r="D21" s="87" t="str">
        <f>+'5 VALORACIÓN DEL CONTROL'!U85</f>
        <v/>
      </c>
      <c r="E21" s="117" t="str">
        <f t="shared" si="0"/>
        <v>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customHeight="1" x14ac:dyDescent="0.2">
      <c r="A22" s="85" t="str">
        <f>'2 CONTEXTO E IDENTIFICACIÓN'!A22</f>
        <v>R14</v>
      </c>
      <c r="B22" s="86" t="str">
        <f>+'2 CONTEXTO E IDENTIFICACIÓN'!J22</f>
        <v xml:space="preserve"> por a causa de </v>
      </c>
      <c r="C22" s="116">
        <f>+'5 VALORACIÓN DEL CONTROL'!T91</f>
        <v>0.36</v>
      </c>
      <c r="D22" s="87" t="str">
        <f>+'5 VALORACIÓN DEL CONTROL'!U91</f>
        <v/>
      </c>
      <c r="E22" s="117" t="str">
        <f t="shared" si="0"/>
        <v>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customHeight="1" x14ac:dyDescent="0.2">
      <c r="A23" s="85" t="str">
        <f>'2 CONTEXTO E IDENTIFICACIÓN'!A23</f>
        <v>R15</v>
      </c>
      <c r="B23" s="86" t="str">
        <f>+'2 CONTEXTO E IDENTIFICACIÓN'!J23</f>
        <v xml:space="preserve"> por a causa de </v>
      </c>
      <c r="C23" s="116">
        <f>+'5 VALORACIÓN DEL CONTROL'!T97</f>
        <v>0.36</v>
      </c>
      <c r="D23" s="87">
        <f>+'5 VALORACIÓN DEL CONTROL'!U97</f>
        <v>0</v>
      </c>
      <c r="E23" s="117" t="str">
        <f t="shared" si="0"/>
        <v>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customHeight="1" x14ac:dyDescent="0.2">
      <c r="A24" s="85" t="str">
        <f>'2 CONTEXTO E IDENTIFICACIÓN'!A24</f>
        <v>R16</v>
      </c>
      <c r="B24" s="86" t="str">
        <f>+'2 CONTEXTO E IDENTIFICACIÓN'!J24</f>
        <v xml:space="preserve"> por a causa de </v>
      </c>
      <c r="C24" s="116">
        <f>+'5 VALORACIÓN DEL CONTROL'!T103</f>
        <v>0.36</v>
      </c>
      <c r="D24" s="87">
        <f>+'5 VALORACIÓN DEL CONTROL'!U103</f>
        <v>0</v>
      </c>
      <c r="E24" s="117" t="str">
        <f t="shared" si="0"/>
        <v>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customHeight="1" x14ac:dyDescent="0.25">
      <c r="A25" s="85" t="str">
        <f>'2 CONTEXTO E IDENTIFICACIÓN'!A25</f>
        <v>R17</v>
      </c>
      <c r="B25" s="86" t="str">
        <f>+'2 CONTEXTO E IDENTIFICACIÓN'!J25</f>
        <v xml:space="preserve"> por a causa de </v>
      </c>
      <c r="C25" s="116">
        <f>+'5 VALORACIÓN DEL CONTROL'!T109</f>
        <v>0.36</v>
      </c>
      <c r="D25" s="87">
        <f>+'5 VALORACIÓN DEL CONTROL'!U109</f>
        <v>0</v>
      </c>
      <c r="E25" s="117" t="str">
        <f t="shared" si="0"/>
        <v>Baja</v>
      </c>
      <c r="F25" s="117" t="str">
        <f t="shared" si="1"/>
        <v/>
      </c>
      <c r="G25" s="86" t="b">
        <f t="shared" si="2"/>
        <v>0</v>
      </c>
      <c r="H25" s="88"/>
      <c r="I25" s="88"/>
      <c r="J25" s="88"/>
      <c r="K25" s="88"/>
      <c r="L25" s="88"/>
      <c r="M25" s="88"/>
      <c r="N25" s="88"/>
      <c r="O25" s="88"/>
      <c r="P25" s="88"/>
    </row>
    <row r="26" spans="1:38" ht="93" customHeight="1" x14ac:dyDescent="0.25">
      <c r="A26" s="85" t="str">
        <f>'2 CONTEXTO E IDENTIFICACIÓN'!A26</f>
        <v>R18</v>
      </c>
      <c r="B26" s="86" t="str">
        <f>+'2 CONTEXTO E IDENTIFICACIÓN'!J26</f>
        <v xml:space="preserve"> por a causa de </v>
      </c>
      <c r="C26" s="116">
        <f>+'5 VALORACIÓN DEL CONTROL'!T115</f>
        <v>0.36</v>
      </c>
      <c r="D26" s="87">
        <f>+'5 VALORACIÓN DEL CONTROL'!U115</f>
        <v>0</v>
      </c>
      <c r="E26" s="117" t="str">
        <f t="shared" si="0"/>
        <v>Baja</v>
      </c>
      <c r="F26" s="117" t="str">
        <f t="shared" si="1"/>
        <v/>
      </c>
      <c r="G26" s="86" t="b">
        <f t="shared" si="2"/>
        <v>0</v>
      </c>
      <c r="H26" s="88"/>
      <c r="I26" s="88"/>
      <c r="J26" s="88"/>
      <c r="K26" s="88"/>
      <c r="L26" s="88"/>
      <c r="M26" s="88"/>
      <c r="N26" s="88"/>
      <c r="O26" s="88"/>
      <c r="P26" s="88"/>
    </row>
    <row r="27" spans="1:38" ht="93" customHeight="1" x14ac:dyDescent="0.25">
      <c r="A27" s="85" t="str">
        <f>'2 CONTEXTO E IDENTIFICACIÓN'!A27</f>
        <v>R19</v>
      </c>
      <c r="B27" s="86" t="str">
        <f>+'2 CONTEXTO E IDENTIFICACIÓN'!J27</f>
        <v xml:space="preserve"> por a causa de </v>
      </c>
      <c r="C27" s="116">
        <f>+'5 VALORACIÓN DEL CONTROL'!T121</f>
        <v>0.6</v>
      </c>
      <c r="D27" s="87">
        <f>+'5 VALORACIÓN DEL CONTROL'!U121</f>
        <v>0</v>
      </c>
      <c r="E27" s="117" t="str">
        <f t="shared" si="0"/>
        <v>Media</v>
      </c>
      <c r="F27" s="117" t="str">
        <f t="shared" si="1"/>
        <v/>
      </c>
      <c r="G27" s="86" t="b">
        <f t="shared" si="2"/>
        <v>0</v>
      </c>
      <c r="H27" s="88"/>
      <c r="I27" s="88"/>
      <c r="J27" s="88"/>
      <c r="K27" s="88"/>
      <c r="L27" s="88"/>
      <c r="M27" s="88"/>
      <c r="N27" s="88"/>
      <c r="O27" s="88"/>
      <c r="P27" s="88"/>
    </row>
    <row r="28" spans="1:38" ht="93" customHeight="1" x14ac:dyDescent="0.25">
      <c r="A28" s="85" t="str">
        <f>'2 CONTEXTO E IDENTIFICACIÓN'!A28</f>
        <v>R20</v>
      </c>
      <c r="B28" s="86" t="str">
        <f>+'2 CONTEXTO E IDENTIFICACIÓN'!J28</f>
        <v xml:space="preserve"> por a causa de </v>
      </c>
      <c r="C28" s="116">
        <f>+'5 VALORACIÓN DEL CONTROL'!T127</f>
        <v>0.36</v>
      </c>
      <c r="D28" s="87">
        <f>+'5 VALORACIÓN DEL CONTROL'!U127</f>
        <v>0</v>
      </c>
      <c r="E28" s="117" t="str">
        <f t="shared" si="0"/>
        <v>Baja</v>
      </c>
      <c r="F28" s="117" t="str">
        <f t="shared" si="1"/>
        <v/>
      </c>
      <c r="G28" s="86" t="b">
        <f t="shared" si="2"/>
        <v>0</v>
      </c>
      <c r="H28" s="88"/>
      <c r="I28" s="88"/>
      <c r="J28" s="88"/>
      <c r="K28" s="88"/>
      <c r="L28" s="88"/>
      <c r="M28" s="88"/>
      <c r="N28" s="88"/>
      <c r="O28" s="88"/>
      <c r="P28" s="88"/>
    </row>
    <row r="29" spans="1:38" ht="14.45" customHeight="1" x14ac:dyDescent="0.25">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25">
      <c r="C33" s="73"/>
      <c r="E33" s="118"/>
      <c r="F33" s="118"/>
      <c r="AA33" s="73"/>
      <c r="AB33" s="73"/>
      <c r="AC33" s="73"/>
      <c r="AD33" s="73"/>
      <c r="AE33" s="73"/>
    </row>
    <row r="34" spans="3:31" s="68" customFormat="1" ht="19.5" hidden="1" customHeight="1" x14ac:dyDescent="0.25">
      <c r="C34" s="73"/>
      <c r="E34" s="118"/>
      <c r="F34" s="118"/>
      <c r="AA34" s="73"/>
      <c r="AB34" s="73"/>
      <c r="AC34" s="73"/>
      <c r="AD34" s="73"/>
      <c r="AE34" s="73"/>
    </row>
    <row r="35" spans="3:31" s="68" customFormat="1" ht="19.5" hidden="1" customHeight="1" x14ac:dyDescent="0.25">
      <c r="C35" s="73"/>
      <c r="E35" s="118"/>
      <c r="F35" s="118"/>
      <c r="AA35" s="73"/>
      <c r="AB35" s="73"/>
      <c r="AC35" s="73"/>
      <c r="AD35" s="73"/>
      <c r="AE35" s="73"/>
    </row>
  </sheetData>
  <sheetProtection sheet="1"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9" activePane="bottomRight" state="frozen"/>
      <selection pane="topRight" activeCell="B1" sqref="B1"/>
      <selection pane="bottomLeft" activeCell="A7" sqref="A7"/>
      <selection pane="bottomRight" activeCell="A73" sqref="A73:XFD1048576"/>
    </sheetView>
  </sheetViews>
  <sheetFormatPr baseColWidth="10" defaultColWidth="0" defaultRowHeight="12.75" zeroHeight="1" x14ac:dyDescent="0.25"/>
  <cols>
    <col min="1" max="1" width="11.42578125" style="68" customWidth="1"/>
    <col min="2" max="2" width="9.140625" style="73" bestFit="1" customWidth="1"/>
    <col min="3" max="4" width="15.42578125" style="73" customWidth="1"/>
    <col min="5" max="6" width="15.42578125" style="118" customWidth="1"/>
    <col min="7" max="7" width="15.42578125" style="73" customWidth="1"/>
    <col min="8" max="8" width="3.85546875" style="73" customWidth="1"/>
    <col min="9" max="9" width="7.42578125" style="73" customWidth="1"/>
    <col min="10" max="10" width="14" style="73" customWidth="1"/>
    <col min="11" max="15" width="12.42578125" style="73" customWidth="1"/>
    <col min="16" max="16" width="3.85546875" style="73" customWidth="1"/>
    <col min="17" max="17" width="4.85546875" style="68" hidden="1" customWidth="1"/>
    <col min="18" max="18" width="6.140625" style="68" hidden="1" customWidth="1"/>
    <col min="19" max="24" width="14" style="68" hidden="1" customWidth="1"/>
    <col min="25" max="29" width="11.42578125" style="68" customWidth="1"/>
    <col min="30" max="30" width="5.42578125" style="68" bestFit="1" customWidth="1"/>
    <col min="31" max="31" width="26.85546875" style="68" customWidth="1"/>
    <col min="32" max="32" width="22.85546875" style="73" customWidth="1"/>
    <col min="33"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79"/>
      <c r="B1" s="485" t="str">
        <f>+'2 CONTEXTO E IDENTIFICACIÓN'!A1</f>
        <v>MAPA DE RIESGOS</v>
      </c>
      <c r="C1" s="485"/>
      <c r="D1" s="485"/>
      <c r="E1" s="475"/>
      <c r="F1" s="476"/>
      <c r="J1" s="218" t="str">
        <f>+'2 CONTEXTO E IDENTIFICACIÓN'!$I$4</f>
        <v>Elaboración o Actualización:</v>
      </c>
      <c r="K1" s="232">
        <f>'2 CONTEXTO E IDENTIFICACIÓN'!J4</f>
        <v>0</v>
      </c>
      <c r="L1" s="13"/>
      <c r="M1" s="13"/>
      <c r="AF1" s="57"/>
      <c r="AG1" s="57"/>
      <c r="AH1" s="57"/>
      <c r="AI1" s="57"/>
      <c r="AJ1" s="57"/>
    </row>
    <row r="2" spans="1:38" s="56" customFormat="1" ht="36" customHeight="1" x14ac:dyDescent="0.2">
      <c r="A2" s="479"/>
      <c r="B2" s="485"/>
      <c r="C2" s="485"/>
      <c r="D2" s="485"/>
      <c r="E2" s="39" t="str">
        <f>+'2 CONTEXTO E IDENTIFICACIÓN'!A2</f>
        <v>VERSIÓN:</v>
      </c>
      <c r="F2" s="112">
        <f>'2 CONTEXTO E IDENTIFICACIÓN'!B2</f>
        <v>0</v>
      </c>
      <c r="G2" s="58"/>
      <c r="H2" s="58"/>
      <c r="J2" s="221" t="str">
        <f>+'2 CONTEXTO E IDENTIFICACIÓN'!$E$5</f>
        <v xml:space="preserve">Vigencia: </v>
      </c>
      <c r="K2" s="219">
        <f>'2 CONTEXTO E IDENTIFICACIÓN'!G5</f>
        <v>0</v>
      </c>
      <c r="L2" s="220" t="s">
        <v>100</v>
      </c>
      <c r="M2" s="217">
        <f>'2 CONTEXTO E IDENTIFICACIÓN'!J5</f>
        <v>0</v>
      </c>
      <c r="N2" s="59"/>
      <c r="O2" s="59"/>
      <c r="P2" s="58"/>
      <c r="AF2" s="57"/>
      <c r="AG2" s="57"/>
      <c r="AH2" s="57"/>
      <c r="AI2" s="57"/>
      <c r="AJ2" s="57"/>
    </row>
    <row r="3" spans="1:38" s="56" customFormat="1" x14ac:dyDescent="0.2">
      <c r="A3" s="60"/>
      <c r="B3" s="58"/>
      <c r="C3" s="58"/>
      <c r="D3" s="58"/>
      <c r="E3" s="222"/>
      <c r="F3" s="222"/>
      <c r="G3" s="58"/>
      <c r="H3" s="58"/>
      <c r="N3" s="59"/>
      <c r="O3" s="59"/>
      <c r="P3" s="58"/>
      <c r="AF3" s="57"/>
      <c r="AG3" s="57"/>
      <c r="AH3" s="57"/>
      <c r="AI3" s="57"/>
      <c r="AJ3" s="57"/>
    </row>
    <row r="4" spans="1:38" s="56" customFormat="1" ht="17.45" customHeight="1" x14ac:dyDescent="0.2">
      <c r="A4" s="12" t="s">
        <v>95</v>
      </c>
      <c r="B4" s="465">
        <f>'2 CONTEXTO E IDENTIFICACIÓN'!B4</f>
        <v>0</v>
      </c>
      <c r="C4" s="465"/>
      <c r="D4" s="465"/>
      <c r="E4" s="54"/>
      <c r="F4" s="222"/>
      <c r="G4" s="58"/>
      <c r="H4" s="58"/>
      <c r="I4" s="223"/>
      <c r="J4" s="223"/>
      <c r="K4" s="224"/>
      <c r="L4" s="224"/>
      <c r="M4" s="224"/>
      <c r="N4" s="59"/>
      <c r="O4" s="59"/>
      <c r="P4" s="58"/>
      <c r="AF4" s="57"/>
      <c r="AG4" s="57"/>
      <c r="AH4" s="57"/>
      <c r="AI4" s="57"/>
      <c r="AJ4" s="57"/>
    </row>
    <row r="5" spans="1:38" s="56" customFormat="1" ht="33" customHeight="1" x14ac:dyDescent="0.2">
      <c r="A5" s="12" t="s">
        <v>96</v>
      </c>
      <c r="B5" s="465">
        <f>'2 CONTEXTO E IDENTIFICACIÓN'!F4</f>
        <v>0</v>
      </c>
      <c r="C5" s="466"/>
      <c r="D5" s="466"/>
      <c r="E5" s="54"/>
      <c r="F5" s="222"/>
      <c r="G5" s="58"/>
      <c r="H5" s="58"/>
      <c r="I5" s="223"/>
      <c r="J5" s="223"/>
      <c r="K5" s="224"/>
      <c r="L5" s="224"/>
      <c r="M5" s="224"/>
      <c r="N5" s="59"/>
      <c r="O5" s="59"/>
      <c r="P5" s="58"/>
      <c r="AF5" s="57"/>
      <c r="AG5" s="57"/>
      <c r="AH5" s="57"/>
      <c r="AI5" s="57"/>
      <c r="AJ5" s="57"/>
    </row>
    <row r="6" spans="1:38" s="56" customFormat="1" ht="15" thickBot="1" x14ac:dyDescent="0.25">
      <c r="D6" s="54"/>
      <c r="E6" s="54"/>
      <c r="F6" s="114"/>
      <c r="AF6" s="57"/>
      <c r="AG6" s="57"/>
      <c r="AH6" s="57"/>
      <c r="AI6" s="57"/>
      <c r="AJ6" s="57"/>
    </row>
    <row r="7" spans="1:38" s="56" customFormat="1" ht="13.5" thickBot="1" x14ac:dyDescent="0.25">
      <c r="A7" s="545" t="s">
        <v>312</v>
      </c>
      <c r="B7" s="546"/>
      <c r="C7" s="546"/>
      <c r="D7" s="546"/>
      <c r="E7" s="546"/>
      <c r="F7" s="546"/>
      <c r="G7" s="547"/>
      <c r="I7" s="545" t="s">
        <v>340</v>
      </c>
      <c r="J7" s="546"/>
      <c r="K7" s="546"/>
      <c r="L7" s="546"/>
      <c r="M7" s="546"/>
      <c r="N7" s="546"/>
      <c r="O7" s="547"/>
      <c r="R7" s="61"/>
      <c r="S7" s="62"/>
      <c r="T7" s="477" t="s">
        <v>176</v>
      </c>
      <c r="U7" s="477"/>
      <c r="V7" s="477"/>
      <c r="W7" s="477"/>
      <c r="X7" s="478"/>
      <c r="AF7" s="57"/>
      <c r="AG7" s="57"/>
      <c r="AH7" s="57"/>
      <c r="AI7" s="57"/>
      <c r="AJ7" s="57"/>
    </row>
    <row r="8" spans="1:38" x14ac:dyDescent="0.25">
      <c r="A8" s="66"/>
      <c r="B8" s="67"/>
      <c r="C8" s="477" t="s">
        <v>176</v>
      </c>
      <c r="D8" s="477"/>
      <c r="E8" s="477"/>
      <c r="F8" s="477"/>
      <c r="G8" s="478"/>
      <c r="H8" s="65"/>
      <c r="I8" s="66"/>
      <c r="J8" s="67"/>
      <c r="K8" s="477" t="s">
        <v>176</v>
      </c>
      <c r="L8" s="477"/>
      <c r="M8" s="477"/>
      <c r="N8" s="477"/>
      <c r="O8" s="478"/>
      <c r="P8" s="65"/>
      <c r="R8" s="69"/>
      <c r="T8" s="70">
        <v>0.2</v>
      </c>
      <c r="U8" s="70">
        <v>0.4</v>
      </c>
      <c r="V8" s="70">
        <v>0.6</v>
      </c>
      <c r="W8" s="70">
        <v>0.8</v>
      </c>
      <c r="X8" s="71">
        <v>1</v>
      </c>
      <c r="Y8" s="72"/>
      <c r="Z8" s="72"/>
      <c r="AA8" s="72"/>
      <c r="AB8" s="72"/>
      <c r="AC8" s="72"/>
      <c r="AD8" s="72"/>
      <c r="AE8" s="72"/>
    </row>
    <row r="9" spans="1:38" x14ac:dyDescent="0.2">
      <c r="A9" s="69"/>
      <c r="B9" s="78"/>
      <c r="C9" s="79" t="s">
        <v>290</v>
      </c>
      <c r="D9" s="79" t="s">
        <v>294</v>
      </c>
      <c r="E9" s="79" t="s">
        <v>298</v>
      </c>
      <c r="F9" s="79" t="s">
        <v>303</v>
      </c>
      <c r="G9" s="80" t="s">
        <v>308</v>
      </c>
      <c r="H9" s="65"/>
      <c r="I9" s="69"/>
      <c r="J9" s="78"/>
      <c r="K9" s="79" t="s">
        <v>290</v>
      </c>
      <c r="L9" s="79" t="s">
        <v>294</v>
      </c>
      <c r="M9" s="79" t="s">
        <v>298</v>
      </c>
      <c r="N9" s="79" t="s">
        <v>303</v>
      </c>
      <c r="O9" s="80" t="s">
        <v>308</v>
      </c>
      <c r="P9" s="65"/>
      <c r="R9" s="69"/>
      <c r="S9" s="81"/>
      <c r="T9" s="82" t="s">
        <v>290</v>
      </c>
      <c r="U9" s="82" t="s">
        <v>294</v>
      </c>
      <c r="V9" s="82" t="s">
        <v>298</v>
      </c>
      <c r="W9" s="82" t="s">
        <v>303</v>
      </c>
      <c r="X9" s="83" t="s">
        <v>308</v>
      </c>
      <c r="AA9" s="72"/>
      <c r="AB9" s="72"/>
      <c r="AC9" s="84"/>
      <c r="AD9" s="84"/>
      <c r="AE9" s="84"/>
      <c r="AF9" s="84"/>
      <c r="AG9" s="84"/>
      <c r="AH9" s="84"/>
      <c r="AI9" s="84"/>
      <c r="AJ9" s="84"/>
      <c r="AK9" s="84"/>
      <c r="AL9" s="84"/>
    </row>
    <row r="10" spans="1:38" ht="55.5" customHeight="1" x14ac:dyDescent="0.2">
      <c r="A10" s="483" t="s">
        <v>157</v>
      </c>
      <c r="B10" s="79" t="s">
        <v>306</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83" t="s">
        <v>157</v>
      </c>
      <c r="J10" s="79" t="s">
        <v>306</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44" t="s">
        <v>157</v>
      </c>
      <c r="R10" s="91">
        <v>1</v>
      </c>
      <c r="S10" s="82" t="s">
        <v>306</v>
      </c>
      <c r="T10" s="89" t="s">
        <v>316</v>
      </c>
      <c r="U10" s="89" t="s">
        <v>316</v>
      </c>
      <c r="V10" s="89" t="s">
        <v>316</v>
      </c>
      <c r="W10" s="89" t="s">
        <v>316</v>
      </c>
      <c r="X10" s="90" t="s">
        <v>317</v>
      </c>
      <c r="AA10" s="72"/>
      <c r="AB10" s="72"/>
      <c r="AC10" s="84"/>
      <c r="AD10" s="84"/>
      <c r="AE10" s="84"/>
      <c r="AF10" s="92"/>
      <c r="AG10" s="92"/>
      <c r="AH10" s="92"/>
      <c r="AI10" s="92"/>
      <c r="AJ10" s="92"/>
      <c r="AK10" s="84"/>
      <c r="AL10" s="84"/>
    </row>
    <row r="11" spans="1:38" ht="55.5" customHeight="1" x14ac:dyDescent="0.2">
      <c r="A11" s="483"/>
      <c r="B11" s="79" t="s">
        <v>301</v>
      </c>
      <c r="C11" s="93" t="str">
        <f>+'4 MAPA CALOR INHERENTE'!I10</f>
        <v xml:space="preserve">                   </v>
      </c>
      <c r="D11" s="93" t="str">
        <f>+'4 MAPA CALOR INHERENTE'!J10</f>
        <v xml:space="preserve">  R3                 </v>
      </c>
      <c r="E11" s="89" t="str">
        <f>+'4 MAPA CALOR INHERENTE'!K10</f>
        <v xml:space="preserve">                   </v>
      </c>
      <c r="F11" s="89" t="str">
        <f>+'4 MAPA CALOR INHERENTE'!L10</f>
        <v xml:space="preserve">                   </v>
      </c>
      <c r="G11" s="90" t="str">
        <f>+'4 MAPA CALOR INHERENTE'!M10</f>
        <v xml:space="preserve">                   </v>
      </c>
      <c r="H11" s="88"/>
      <c r="I11" s="483"/>
      <c r="J11" s="79" t="s">
        <v>301</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44"/>
      <c r="R11" s="91">
        <v>0.8</v>
      </c>
      <c r="S11" s="82" t="s">
        <v>301</v>
      </c>
      <c r="T11" s="93" t="s">
        <v>298</v>
      </c>
      <c r="U11" s="93" t="s">
        <v>298</v>
      </c>
      <c r="V11" s="89" t="s">
        <v>316</v>
      </c>
      <c r="W11" s="89" t="s">
        <v>316</v>
      </c>
      <c r="X11" s="90" t="s">
        <v>317</v>
      </c>
      <c r="AA11" s="72"/>
      <c r="AB11" s="72"/>
      <c r="AC11" s="84"/>
      <c r="AD11" s="94"/>
      <c r="AE11" s="95"/>
      <c r="AF11" s="92"/>
      <c r="AG11" s="92"/>
      <c r="AH11" s="92"/>
      <c r="AI11" s="92"/>
      <c r="AJ11" s="92"/>
      <c r="AK11" s="84"/>
      <c r="AL11" s="84"/>
    </row>
    <row r="12" spans="1:38" ht="55.5" customHeight="1" x14ac:dyDescent="0.2">
      <c r="A12" s="483"/>
      <c r="B12" s="79" t="s">
        <v>296</v>
      </c>
      <c r="C12" s="93" t="str">
        <f>+'4 MAPA CALOR INHERENTE'!I11</f>
        <v xml:space="preserve">                   </v>
      </c>
      <c r="D12" s="93" t="str">
        <f>+'4 MAPA CALOR INHERENTE'!J11</f>
        <v xml:space="preserve">R1                   </v>
      </c>
      <c r="E12" s="93" t="str">
        <f>+'4 MAPA CALOR INHERENTE'!K11</f>
        <v xml:space="preserve">                   </v>
      </c>
      <c r="F12" s="89" t="str">
        <f>+'4 MAPA CALOR INHERENTE'!L11</f>
        <v xml:space="preserve">                   </v>
      </c>
      <c r="G12" s="90" t="str">
        <f>+'4 MAPA CALOR INHERENTE'!M11</f>
        <v xml:space="preserve">                   </v>
      </c>
      <c r="H12" s="88"/>
      <c r="I12" s="483"/>
      <c r="J12" s="79" t="s">
        <v>296</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44"/>
      <c r="R12" s="91">
        <v>0.6</v>
      </c>
      <c r="S12" s="82" t="s">
        <v>296</v>
      </c>
      <c r="T12" s="93" t="s">
        <v>298</v>
      </c>
      <c r="U12" s="93" t="s">
        <v>298</v>
      </c>
      <c r="V12" s="93" t="s">
        <v>298</v>
      </c>
      <c r="W12" s="89" t="s">
        <v>316</v>
      </c>
      <c r="X12" s="90" t="s">
        <v>317</v>
      </c>
      <c r="AA12" s="72"/>
      <c r="AB12" s="72"/>
      <c r="AC12" s="84"/>
      <c r="AD12" s="94"/>
      <c r="AE12" s="95"/>
      <c r="AF12" s="92"/>
      <c r="AG12" s="92"/>
      <c r="AH12" s="92"/>
      <c r="AI12" s="92"/>
      <c r="AJ12" s="96"/>
      <c r="AK12" s="84"/>
      <c r="AL12" s="84"/>
    </row>
    <row r="13" spans="1:38" ht="55.5" customHeight="1" x14ac:dyDescent="0.2">
      <c r="A13" s="483"/>
      <c r="B13" s="79" t="s">
        <v>292</v>
      </c>
      <c r="C13" s="97" t="str">
        <f>+'4 MAPA CALOR INHERENTE'!I12</f>
        <v xml:space="preserve">                   </v>
      </c>
      <c r="D13" s="93" t="str">
        <f>+'4 MAPA CALOR INHERENTE'!J12</f>
        <v xml:space="preserve">    R5               </v>
      </c>
      <c r="E13" s="93" t="str">
        <f>+'4 MAPA CALOR INHERENTE'!K12</f>
        <v xml:space="preserve"> R2  R4                </v>
      </c>
      <c r="F13" s="89" t="str">
        <f>+'4 MAPA CALOR INHERENTE'!L12</f>
        <v xml:space="preserve">                   </v>
      </c>
      <c r="G13" s="90" t="str">
        <f>+'4 MAPA CALOR INHERENTE'!M12</f>
        <v xml:space="preserve">                   </v>
      </c>
      <c r="H13" s="88"/>
      <c r="I13" s="483"/>
      <c r="J13" s="79" t="s">
        <v>292</v>
      </c>
      <c r="K13" s="97" t="str">
        <f>+'6 MAPA CALOR RESIDUAL'!K12</f>
        <v xml:space="preserve">                   </v>
      </c>
      <c r="L13" s="93" t="str">
        <f>+'6 MAPA CALOR RESIDUAL'!L12</f>
        <v xml:space="preserve">R1  R3  R5               </v>
      </c>
      <c r="M13" s="93" t="str">
        <f>+'6 MAPA CALOR RESIDUAL'!M12</f>
        <v xml:space="preserve"> R2  R4                </v>
      </c>
      <c r="N13" s="89" t="str">
        <f>+'6 MAPA CALOR RESIDUAL'!N12</f>
        <v xml:space="preserve">                   </v>
      </c>
      <c r="O13" s="90" t="str">
        <f>+'6 MAPA CALOR RESIDUAL'!O12</f>
        <v xml:space="preserve">                   </v>
      </c>
      <c r="P13" s="88"/>
      <c r="Q13" s="544"/>
      <c r="R13" s="91">
        <v>0.4</v>
      </c>
      <c r="S13" s="82" t="s">
        <v>292</v>
      </c>
      <c r="T13" s="97" t="s">
        <v>318</v>
      </c>
      <c r="U13" s="93" t="s">
        <v>298</v>
      </c>
      <c r="V13" s="93" t="s">
        <v>298</v>
      </c>
      <c r="W13" s="89" t="s">
        <v>316</v>
      </c>
      <c r="X13" s="90" t="s">
        <v>317</v>
      </c>
      <c r="AA13" s="72"/>
      <c r="AB13" s="72"/>
      <c r="AC13" s="84"/>
      <c r="AD13" s="94"/>
      <c r="AE13" s="95"/>
      <c r="AF13" s="92"/>
      <c r="AG13" s="92"/>
      <c r="AH13" s="92"/>
      <c r="AI13" s="96"/>
      <c r="AJ13" s="92"/>
      <c r="AK13" s="84"/>
      <c r="AL13" s="84"/>
    </row>
    <row r="14" spans="1:38" ht="55.5" customHeight="1" thickBot="1" x14ac:dyDescent="0.25">
      <c r="A14" s="484"/>
      <c r="B14" s="98" t="s">
        <v>288</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484"/>
      <c r="J14" s="98" t="s">
        <v>288</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44"/>
      <c r="R14" s="103">
        <v>0.2</v>
      </c>
      <c r="S14" s="104" t="s">
        <v>288</v>
      </c>
      <c r="T14" s="99" t="s">
        <v>318</v>
      </c>
      <c r="U14" s="99" t="s">
        <v>318</v>
      </c>
      <c r="V14" s="100" t="s">
        <v>298</v>
      </c>
      <c r="W14" s="101" t="s">
        <v>316</v>
      </c>
      <c r="X14" s="102" t="s">
        <v>317</v>
      </c>
      <c r="AA14" s="72"/>
      <c r="AB14" s="72"/>
      <c r="AC14" s="84"/>
      <c r="AD14" s="94"/>
      <c r="AE14" s="95"/>
      <c r="AF14" s="92"/>
      <c r="AG14" s="92"/>
      <c r="AH14" s="92"/>
      <c r="AI14" s="105"/>
      <c r="AJ14" s="92"/>
      <c r="AK14" s="84"/>
      <c r="AL14" s="84"/>
    </row>
    <row r="15" spans="1:38" x14ac:dyDescent="0.2">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5.5" x14ac:dyDescent="0.2">
      <c r="A16" s="73"/>
      <c r="B16" s="88"/>
      <c r="C16" s="187"/>
      <c r="D16" s="188"/>
      <c r="E16" s="189"/>
      <c r="F16" s="189"/>
      <c r="G16" s="88"/>
      <c r="H16" s="88"/>
      <c r="I16" s="88"/>
      <c r="J16" s="88"/>
      <c r="K16" s="88"/>
      <c r="L16" s="88"/>
      <c r="M16" s="88"/>
      <c r="N16" s="88"/>
      <c r="O16" s="88"/>
      <c r="P16" s="88"/>
      <c r="T16" s="76" t="s">
        <v>319</v>
      </c>
      <c r="V16" s="72"/>
      <c r="W16" s="72"/>
      <c r="X16" s="72"/>
      <c r="Y16" s="72"/>
      <c r="Z16" s="72"/>
      <c r="AA16" s="72"/>
      <c r="AB16" s="72"/>
      <c r="AC16" s="84"/>
      <c r="AD16" s="94"/>
      <c r="AE16" s="84"/>
      <c r="AF16" s="95"/>
      <c r="AG16" s="95"/>
      <c r="AH16" s="95"/>
      <c r="AI16" s="95"/>
      <c r="AJ16" s="95"/>
      <c r="AK16" s="84"/>
      <c r="AL16" s="84"/>
    </row>
    <row r="17" spans="1:38" x14ac:dyDescent="0.2">
      <c r="A17" s="73"/>
      <c r="B17" s="88"/>
      <c r="C17" s="187"/>
      <c r="D17" s="188"/>
      <c r="E17" s="189"/>
      <c r="F17" s="189"/>
      <c r="G17" s="88"/>
      <c r="H17" s="88"/>
      <c r="I17" s="88"/>
      <c r="J17" s="88"/>
      <c r="K17" s="88"/>
      <c r="L17" s="88"/>
      <c r="M17" s="88"/>
      <c r="N17" s="88"/>
      <c r="O17" s="88"/>
      <c r="P17" s="88"/>
      <c r="T17" s="106" t="s">
        <v>317</v>
      </c>
      <c r="V17" s="72"/>
      <c r="W17" s="72"/>
      <c r="X17" s="72"/>
      <c r="Y17" s="72"/>
      <c r="Z17" s="72"/>
      <c r="AA17" s="72"/>
      <c r="AB17" s="72"/>
      <c r="AC17" s="84"/>
      <c r="AD17" s="84"/>
      <c r="AE17" s="84"/>
      <c r="AF17" s="92"/>
      <c r="AG17" s="92"/>
      <c r="AH17" s="92"/>
      <c r="AI17" s="92"/>
      <c r="AJ17" s="92"/>
      <c r="AK17" s="84"/>
      <c r="AL17" s="84"/>
    </row>
    <row r="18" spans="1:38" x14ac:dyDescent="0.2">
      <c r="A18" s="73"/>
      <c r="B18" s="88"/>
      <c r="C18" s="187"/>
      <c r="D18" s="188"/>
      <c r="E18" s="189"/>
      <c r="F18" s="189"/>
      <c r="G18" s="88"/>
      <c r="H18" s="88"/>
      <c r="I18" s="88"/>
      <c r="J18" s="88"/>
      <c r="K18" s="88"/>
      <c r="L18" s="88"/>
      <c r="M18" s="88"/>
      <c r="N18" s="88"/>
      <c r="O18" s="88"/>
      <c r="P18" s="88"/>
      <c r="T18" s="89" t="s">
        <v>316</v>
      </c>
      <c r="U18" s="72"/>
      <c r="V18" s="72"/>
      <c r="W18" s="72"/>
      <c r="X18" s="72"/>
      <c r="Y18" s="72"/>
      <c r="Z18" s="72"/>
      <c r="AA18" s="72"/>
      <c r="AB18" s="72"/>
      <c r="AC18" s="84"/>
      <c r="AD18" s="84"/>
      <c r="AE18" s="84"/>
      <c r="AF18" s="92"/>
      <c r="AG18" s="92"/>
      <c r="AH18" s="92"/>
      <c r="AI18" s="92"/>
      <c r="AJ18" s="92"/>
      <c r="AK18" s="84"/>
      <c r="AL18" s="84"/>
    </row>
    <row r="19" spans="1:38" x14ac:dyDescent="0.2">
      <c r="A19" s="73"/>
      <c r="B19" s="88"/>
      <c r="C19" s="187"/>
      <c r="D19" s="188"/>
      <c r="E19" s="189"/>
      <c r="F19" s="189"/>
      <c r="G19" s="88"/>
      <c r="H19" s="88"/>
      <c r="I19" s="88"/>
      <c r="J19" s="88"/>
      <c r="K19" s="88"/>
      <c r="L19" s="88"/>
      <c r="M19" s="88"/>
      <c r="N19" s="88"/>
      <c r="O19" s="88"/>
      <c r="P19" s="88"/>
      <c r="S19" s="107"/>
      <c r="T19" s="93" t="s">
        <v>298</v>
      </c>
      <c r="U19" s="107"/>
      <c r="V19" s="107"/>
      <c r="W19" s="107"/>
      <c r="X19" s="107"/>
      <c r="Y19" s="107"/>
      <c r="Z19" s="107"/>
      <c r="AA19" s="107"/>
      <c r="AB19" s="107"/>
      <c r="AC19" s="84"/>
      <c r="AD19" s="84"/>
      <c r="AE19" s="108"/>
      <c r="AF19" s="108"/>
      <c r="AG19" s="108"/>
      <c r="AH19" s="108"/>
      <c r="AI19" s="108"/>
      <c r="AJ19" s="108"/>
      <c r="AK19" s="84"/>
      <c r="AL19" s="84"/>
    </row>
    <row r="20" spans="1:38" x14ac:dyDescent="0.2">
      <c r="A20" s="73"/>
      <c r="B20" s="88"/>
      <c r="C20" s="187"/>
      <c r="D20" s="188"/>
      <c r="E20" s="189"/>
      <c r="F20" s="189"/>
      <c r="G20" s="88"/>
      <c r="H20" s="88"/>
      <c r="I20" s="88"/>
      <c r="J20" s="88"/>
      <c r="K20" s="88"/>
      <c r="L20" s="88"/>
      <c r="M20" s="88"/>
      <c r="N20" s="88"/>
      <c r="O20" s="88"/>
      <c r="P20" s="88"/>
      <c r="S20" s="107"/>
      <c r="T20" s="97" t="s">
        <v>318</v>
      </c>
      <c r="AA20" s="107"/>
      <c r="AB20" s="107"/>
      <c r="AC20" s="84"/>
      <c r="AD20" s="84"/>
      <c r="AE20" s="84"/>
      <c r="AF20" s="92"/>
      <c r="AG20" s="92"/>
      <c r="AH20" s="92"/>
      <c r="AI20" s="92"/>
      <c r="AJ20" s="92"/>
      <c r="AK20" s="84"/>
      <c r="AL20" s="84"/>
    </row>
    <row r="21" spans="1:38" x14ac:dyDescent="0.2">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25">
      <c r="A26" s="73"/>
      <c r="B26" s="88"/>
      <c r="C26" s="187"/>
      <c r="D26" s="188"/>
      <c r="E26" s="189"/>
      <c r="F26" s="189"/>
      <c r="G26" s="88"/>
      <c r="H26" s="88"/>
      <c r="I26" s="88"/>
      <c r="J26" s="88"/>
      <c r="K26" s="88"/>
      <c r="L26" s="88"/>
      <c r="M26" s="88"/>
      <c r="N26" s="88"/>
      <c r="O26" s="88"/>
      <c r="P26" s="88"/>
    </row>
    <row r="27" spans="1:38" x14ac:dyDescent="0.25">
      <c r="A27" s="73"/>
      <c r="B27" s="88"/>
      <c r="C27" s="187"/>
      <c r="D27" s="188"/>
      <c r="E27" s="189"/>
      <c r="F27" s="189"/>
      <c r="G27" s="88"/>
      <c r="H27" s="88"/>
      <c r="I27" s="88"/>
      <c r="J27" s="88"/>
      <c r="K27" s="88"/>
      <c r="L27" s="88"/>
      <c r="M27" s="88"/>
      <c r="N27" s="88"/>
      <c r="O27" s="88"/>
      <c r="P27" s="88"/>
    </row>
    <row r="28" spans="1:38" x14ac:dyDescent="0.25">
      <c r="A28" s="73"/>
      <c r="B28" s="88"/>
      <c r="C28" s="187"/>
      <c r="D28" s="188"/>
      <c r="E28" s="189"/>
      <c r="F28" s="189"/>
      <c r="G28" s="88"/>
      <c r="H28" s="88"/>
      <c r="I28" s="88"/>
      <c r="J28" s="88"/>
      <c r="K28" s="88"/>
      <c r="L28" s="88"/>
      <c r="M28" s="88"/>
      <c r="N28" s="88"/>
      <c r="O28" s="88"/>
      <c r="P28" s="88"/>
    </row>
    <row r="29" spans="1:38" x14ac:dyDescent="0.25">
      <c r="A29" s="73"/>
      <c r="B29" s="88"/>
      <c r="C29" s="187"/>
      <c r="D29" s="188"/>
      <c r="E29" s="189"/>
      <c r="F29" s="189"/>
      <c r="G29" s="88"/>
      <c r="H29" s="88"/>
      <c r="I29" s="88"/>
      <c r="J29" s="88"/>
      <c r="K29" s="88"/>
      <c r="L29" s="88"/>
      <c r="M29" s="88"/>
      <c r="N29" s="88"/>
      <c r="O29" s="88"/>
      <c r="P29" s="88"/>
    </row>
    <row r="30" spans="1:38" ht="14.45"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25">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25">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25">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25">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tabSelected="1" zoomScale="70" zoomScaleNormal="70" workbookViewId="0">
      <pane xSplit="1" ySplit="8" topLeftCell="B9" activePane="bottomRight" state="frozen"/>
      <selection pane="topRight" activeCell="B1" sqref="B1"/>
      <selection pane="bottomLeft" activeCell="A7" sqref="A7"/>
      <selection pane="bottomRight" activeCell="B10" sqref="B10"/>
    </sheetView>
  </sheetViews>
  <sheetFormatPr baseColWidth="10" defaultColWidth="0" defaultRowHeight="12.75" x14ac:dyDescent="0.25"/>
  <cols>
    <col min="1" max="1" width="11.42578125" style="68" customWidth="1"/>
    <col min="2" max="2" width="71.140625" style="73" customWidth="1"/>
    <col min="3" max="4" width="14.140625" style="73" customWidth="1"/>
    <col min="5" max="5" width="16.42578125" style="118" customWidth="1"/>
    <col min="6" max="6" width="16.85546875" style="118" customWidth="1"/>
    <col min="7" max="7" width="12.42578125" style="73" customWidth="1"/>
    <col min="8" max="8" width="15.42578125" style="73" customWidth="1"/>
    <col min="9" max="9" width="13" style="73" customWidth="1"/>
    <col min="10" max="10" width="16.42578125" style="118" customWidth="1"/>
    <col min="11" max="11" width="10.140625" style="118" customWidth="1"/>
    <col min="12" max="12" width="12.42578125" style="73" customWidth="1"/>
    <col min="13" max="13" width="16.85546875" style="73" customWidth="1"/>
    <col min="14" max="14" width="15.42578125" style="73" customWidth="1"/>
    <col min="15" max="16" width="16.42578125" style="73" customWidth="1"/>
    <col min="17" max="17" width="29.85546875" style="73" customWidth="1"/>
    <col min="18" max="18" width="20.85546875" style="73" customWidth="1"/>
    <col min="19" max="19" width="9.42578125" style="124" customWidth="1"/>
    <col min="20" max="20" width="13.42578125" style="124" customWidth="1"/>
    <col min="21" max="23" width="20.42578125" style="73" customWidth="1"/>
    <col min="24" max="25" width="30.42578125" style="73" customWidth="1"/>
    <col min="26" max="26" width="18" style="73" customWidth="1"/>
    <col min="27" max="28" width="15.42578125" style="73" customWidth="1"/>
    <col min="29" max="29" width="4.85546875" style="68" customWidth="1"/>
    <col min="30" max="30" width="5.42578125" style="68" bestFit="1" customWidth="1"/>
    <col min="31" max="32" width="14" style="68" customWidth="1"/>
    <col min="33" max="33" width="18.42578125" style="68" customWidth="1"/>
    <col min="34" max="34" width="19.42578125" style="68" customWidth="1"/>
    <col min="35" max="35" width="14" style="68" customWidth="1"/>
    <col min="36" max="36" width="17" style="68" bestFit="1" customWidth="1"/>
    <col min="37" max="37" width="11.42578125" style="68" customWidth="1"/>
    <col min="38" max="41" width="11.42578125" style="68" hidden="1" customWidth="1"/>
    <col min="42" max="42" width="5.42578125" style="68" hidden="1" customWidth="1"/>
    <col min="43" max="43" width="26.85546875" style="68" hidden="1" customWidth="1"/>
    <col min="44" max="48" width="22.85546875" style="73" hidden="1" customWidth="1"/>
    <col min="49" max="49" width="23.42578125" style="68" hidden="1" customWidth="1"/>
    <col min="50" max="277" width="11.42578125" style="68" hidden="1" customWidth="1"/>
    <col min="278" max="278" width="12.42578125" style="68" hidden="1" customWidth="1"/>
    <col min="279" max="279" width="47" style="68" hidden="1" customWidth="1"/>
    <col min="280" max="280" width="35" style="68" hidden="1" customWidth="1"/>
    <col min="281" max="16384" width="14.42578125" style="68" hidden="1"/>
  </cols>
  <sheetData>
    <row r="1" spans="1:50" s="56" customFormat="1" ht="36" customHeight="1" x14ac:dyDescent="0.2">
      <c r="A1" s="479"/>
      <c r="B1" s="485" t="str">
        <f>+'2 CONTEXTO E IDENTIFICACIÓN'!A1</f>
        <v>MAPA DE RIESGOS</v>
      </c>
      <c r="C1" s="39"/>
      <c r="D1" s="112"/>
      <c r="E1" s="113"/>
      <c r="F1" s="218" t="str">
        <f>+'2 CONTEXTO E IDENTIFICACIÓN'!$I$4</f>
        <v>Elaboración o Actualización:</v>
      </c>
      <c r="G1" s="232">
        <f>'2 CONTEXTO E IDENTIFICACIÓN'!J4</f>
        <v>0</v>
      </c>
      <c r="H1" s="13"/>
      <c r="I1" s="13"/>
      <c r="U1" s="119"/>
      <c r="V1" s="119"/>
      <c r="AR1" s="57"/>
      <c r="AS1" s="57"/>
      <c r="AT1" s="57"/>
      <c r="AU1" s="57"/>
      <c r="AV1" s="57"/>
    </row>
    <row r="2" spans="1:50" s="56" customFormat="1" ht="36" customHeight="1" x14ac:dyDescent="0.2">
      <c r="A2" s="479"/>
      <c r="B2" s="485"/>
      <c r="C2" s="39" t="str">
        <f>+'2 CONTEXTO E IDENTIFICACIÓN'!A2</f>
        <v>VERSIÓN:</v>
      </c>
      <c r="D2" s="112">
        <f>'2 CONTEXTO E IDENTIFICACIÓN'!B2</f>
        <v>0</v>
      </c>
      <c r="E2" s="113"/>
      <c r="F2" s="221" t="str">
        <f>+'2 CONTEXTO E IDENTIFICACIÓN'!$E$5</f>
        <v xml:space="preserve">Vigencia: </v>
      </c>
      <c r="G2" s="219">
        <f>'2 CONTEXTO E IDENTIFICACIÓN'!G5</f>
        <v>0</v>
      </c>
      <c r="H2" s="220" t="s">
        <v>100</v>
      </c>
      <c r="I2" s="217">
        <f>'2 CONTEXTO E IDENTIFICACIÓN'!J5</f>
        <v>0</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5.75" thickBot="1" x14ac:dyDescent="0.25">
      <c r="A4" s="12" t="s">
        <v>95</v>
      </c>
      <c r="B4" s="465">
        <f>'2 CONTEXTO E IDENTIFICACIÓN'!B4</f>
        <v>0</v>
      </c>
      <c r="C4" s="465"/>
      <c r="D4" s="465"/>
      <c r="E4" s="54"/>
      <c r="F4" s="54"/>
      <c r="G4" s="54"/>
      <c r="H4" s="54"/>
      <c r="I4" s="54"/>
      <c r="J4" s="54"/>
      <c r="K4" s="114"/>
      <c r="S4" s="119"/>
      <c r="T4" s="119"/>
      <c r="AR4" s="57"/>
      <c r="AS4" s="57"/>
      <c r="AT4" s="57"/>
      <c r="AU4" s="57"/>
      <c r="AV4" s="57"/>
    </row>
    <row r="5" spans="1:50" s="56" customFormat="1" ht="30" x14ac:dyDescent="0.2">
      <c r="A5" s="12" t="s">
        <v>96</v>
      </c>
      <c r="B5" s="465">
        <f>'2 CONTEXTO E IDENTIFICACIÓN'!F4</f>
        <v>0</v>
      </c>
      <c r="C5" s="466"/>
      <c r="D5" s="466"/>
      <c r="E5" s="41"/>
      <c r="F5" s="114"/>
      <c r="H5" s="58"/>
      <c r="I5" s="58"/>
      <c r="J5" s="41"/>
      <c r="K5" s="114"/>
      <c r="S5" s="119"/>
      <c r="T5" s="119"/>
      <c r="AD5" s="61"/>
      <c r="AE5" s="62"/>
      <c r="AF5" s="551" t="s">
        <v>176</v>
      </c>
      <c r="AG5" s="552"/>
      <c r="AH5" s="552"/>
      <c r="AI5" s="552"/>
      <c r="AJ5" s="553"/>
      <c r="AR5" s="57"/>
      <c r="AS5" s="57"/>
      <c r="AT5" s="57"/>
      <c r="AU5" s="57"/>
      <c r="AV5" s="57"/>
    </row>
    <row r="6" spans="1:50" s="56" customFormat="1" ht="5.45" customHeight="1" x14ac:dyDescent="0.2">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5" customHeight="1" x14ac:dyDescent="0.25">
      <c r="A7" s="115"/>
      <c r="B7" s="115"/>
      <c r="C7" s="115"/>
      <c r="D7" s="115"/>
      <c r="E7" s="480" t="s">
        <v>313</v>
      </c>
      <c r="F7" s="480"/>
      <c r="G7" s="480"/>
      <c r="H7" s="65"/>
      <c r="I7" s="115"/>
      <c r="J7" s="480" t="s">
        <v>341</v>
      </c>
      <c r="K7" s="480"/>
      <c r="L7" s="480"/>
      <c r="M7" s="65"/>
      <c r="N7" s="65"/>
      <c r="O7" s="65"/>
      <c r="P7" s="65"/>
      <c r="Q7" s="480" t="s">
        <v>344</v>
      </c>
      <c r="R7" s="480"/>
      <c r="S7" s="480"/>
      <c r="T7" s="480"/>
      <c r="U7" s="480" t="s">
        <v>77</v>
      </c>
      <c r="V7" s="480"/>
      <c r="W7" s="480"/>
      <c r="X7" s="65"/>
      <c r="Y7" s="65"/>
      <c r="Z7" s="65"/>
      <c r="AA7" s="65"/>
      <c r="AB7" s="65"/>
      <c r="AD7" s="69"/>
      <c r="AF7" s="70">
        <v>0.2</v>
      </c>
      <c r="AG7" s="70">
        <v>0.4</v>
      </c>
      <c r="AH7" s="70">
        <v>0.6</v>
      </c>
      <c r="AI7" s="70">
        <v>0.8</v>
      </c>
      <c r="AJ7" s="71">
        <v>1</v>
      </c>
      <c r="AK7" s="72"/>
      <c r="AL7" s="72"/>
      <c r="AM7" s="72"/>
      <c r="AN7" s="72"/>
      <c r="AO7" s="72"/>
      <c r="AP7" s="72"/>
      <c r="AQ7" s="72"/>
    </row>
    <row r="8" spans="1:50" ht="51" x14ac:dyDescent="0.2">
      <c r="A8" s="76" t="s">
        <v>314</v>
      </c>
      <c r="B8" s="76" t="s">
        <v>315</v>
      </c>
      <c r="C8" s="76" t="s">
        <v>345</v>
      </c>
      <c r="D8" s="76" t="s">
        <v>346</v>
      </c>
      <c r="E8" s="76" t="s">
        <v>271</v>
      </c>
      <c r="F8" s="76" t="s">
        <v>272</v>
      </c>
      <c r="G8" s="77" t="s">
        <v>69</v>
      </c>
      <c r="H8" s="76" t="s">
        <v>347</v>
      </c>
      <c r="I8" s="76" t="s">
        <v>348</v>
      </c>
      <c r="J8" s="76" t="s">
        <v>271</v>
      </c>
      <c r="K8" s="76" t="s">
        <v>272</v>
      </c>
      <c r="L8" s="76" t="s">
        <v>69</v>
      </c>
      <c r="M8" s="76" t="s">
        <v>73</v>
      </c>
      <c r="N8" s="76" t="s">
        <v>71</v>
      </c>
      <c r="O8" s="76" t="s">
        <v>349</v>
      </c>
      <c r="P8" s="76" t="s">
        <v>350</v>
      </c>
      <c r="Q8" s="76" t="s">
        <v>351</v>
      </c>
      <c r="R8" s="76" t="s">
        <v>352</v>
      </c>
      <c r="S8" s="121" t="s">
        <v>353</v>
      </c>
      <c r="T8" s="121" t="s">
        <v>354</v>
      </c>
      <c r="U8" s="76" t="s">
        <v>355</v>
      </c>
      <c r="V8" s="76" t="s">
        <v>356</v>
      </c>
      <c r="W8" s="76" t="s">
        <v>357</v>
      </c>
      <c r="X8" s="76" t="s">
        <v>358</v>
      </c>
      <c r="Y8" s="76" t="s">
        <v>359</v>
      </c>
      <c r="Z8" s="76" t="s">
        <v>83</v>
      </c>
      <c r="AA8" s="65"/>
      <c r="AB8" s="65"/>
      <c r="AD8" s="69"/>
      <c r="AE8" s="81"/>
      <c r="AF8" s="82" t="s">
        <v>290</v>
      </c>
      <c r="AG8" s="82" t="s">
        <v>294</v>
      </c>
      <c r="AH8" s="82" t="s">
        <v>298</v>
      </c>
      <c r="AI8" s="82" t="s">
        <v>303</v>
      </c>
      <c r="AJ8" s="83" t="s">
        <v>308</v>
      </c>
      <c r="AM8" s="72"/>
      <c r="AN8" s="72"/>
      <c r="AO8" s="84"/>
      <c r="AP8" s="84"/>
      <c r="AQ8" s="84"/>
      <c r="AR8" s="84"/>
      <c r="AS8" s="84"/>
      <c r="AT8" s="84"/>
      <c r="AU8" s="84"/>
      <c r="AV8" s="84"/>
      <c r="AW8" s="84"/>
      <c r="AX8" s="84"/>
    </row>
    <row r="9" spans="1:50" ht="93" customHeight="1" x14ac:dyDescent="0.2">
      <c r="A9" s="85" t="str">
        <f>'2 CONTEXTO E IDENTIFICACIÓN'!A9</f>
        <v>R1</v>
      </c>
      <c r="B9" s="86" t="str">
        <f>+'2 CONTEXTO E IDENTIFICACIÓN'!J9</f>
        <v>Posibilidad de perdida de confidencialidad por acceso indebido a la información reservada y clasificada de los servidores y exservidores de la Entidad a causa de la falta de control en el prestamo y custadia de las Historias Laborales.</v>
      </c>
      <c r="C9" s="122">
        <f>+'3 PROBABIL E IMPACTO INHERENTE'!E9</f>
        <v>0.6</v>
      </c>
      <c r="D9" s="122">
        <f>+'3 PROBABIL E IMPACTO INHERENTE'!M9</f>
        <v>0.4</v>
      </c>
      <c r="E9" s="117" t="str">
        <f>+'4 MAPA CALOR INHERENTE'!C9</f>
        <v>Media</v>
      </c>
      <c r="F9" s="117" t="str">
        <f>+'4 MAPA CALOR INHERENTE'!D9</f>
        <v>Menor</v>
      </c>
      <c r="G9" s="86" t="str">
        <f>+'4 MAPA CALOR INHERENTE'!E9</f>
        <v>Moderado</v>
      </c>
      <c r="H9" s="116">
        <f>+'6 MAPA CALOR RESIDUAL'!C9</f>
        <v>0.36</v>
      </c>
      <c r="I9" s="87">
        <f>+'6 MAPA CALOR RESIDUAL'!D9</f>
        <v>0.4</v>
      </c>
      <c r="J9" s="117" t="str">
        <f>+'6 MAPA CALOR RESIDUAL'!E9</f>
        <v>Baja</v>
      </c>
      <c r="K9" s="117" t="str">
        <f>+'6 MAPA CALOR RESIDUAL'!F9</f>
        <v>Menor</v>
      </c>
      <c r="L9" s="86" t="str">
        <f>+'6 MAPA CALOR RESIDUAL'!G9</f>
        <v>Moderado</v>
      </c>
      <c r="M9" s="86" t="str">
        <f t="shared" ref="M9:M28" si="0">+IF($N9="","",IF($N9=$AG$16,$AH$16,IF($N9=$AG$19,$AH$19)))</f>
        <v>Requiere Plan de Acción</v>
      </c>
      <c r="N9" s="86" t="str">
        <f t="shared" ref="N9:N28" si="1">+IF(L9="","",IF(OR(L9=$AF$16,L9=$AF$17,L9=$AF$18),$AG$16,IF(L9=$AF$19,$AG$19)))</f>
        <v>Reducir_mitigar_Transferir_Evitar</v>
      </c>
      <c r="O9" s="210" t="s">
        <v>360</v>
      </c>
      <c r="P9" s="86" t="str">
        <f t="shared" ref="P9:P28" si="2">+IF($M9="","",IF($M9=$AH$19,$AG$19,$O9))</f>
        <v>Reducir_Mitigar</v>
      </c>
      <c r="Q9" s="210"/>
      <c r="R9" s="210"/>
      <c r="S9" s="211"/>
      <c r="T9" s="211"/>
      <c r="U9" s="210"/>
      <c r="V9" s="210"/>
      <c r="W9" s="210"/>
      <c r="X9" s="210"/>
      <c r="Y9" s="210"/>
      <c r="Z9" s="210"/>
      <c r="AA9" s="88"/>
      <c r="AB9" s="88"/>
      <c r="AC9" s="548" t="s">
        <v>157</v>
      </c>
      <c r="AD9" s="91">
        <v>1</v>
      </c>
      <c r="AE9" s="82" t="s">
        <v>306</v>
      </c>
      <c r="AF9" s="89" t="s">
        <v>316</v>
      </c>
      <c r="AG9" s="89" t="s">
        <v>316</v>
      </c>
      <c r="AH9" s="89" t="s">
        <v>316</v>
      </c>
      <c r="AI9" s="89" t="s">
        <v>316</v>
      </c>
      <c r="AJ9" s="90" t="s">
        <v>317</v>
      </c>
      <c r="AM9" s="72"/>
      <c r="AN9" s="72"/>
      <c r="AO9" s="84"/>
      <c r="AP9" s="84"/>
      <c r="AQ9" s="84"/>
      <c r="AR9" s="92"/>
      <c r="AS9" s="92"/>
      <c r="AT9" s="92"/>
      <c r="AU9" s="92"/>
      <c r="AV9" s="92"/>
      <c r="AW9" s="84"/>
      <c r="AX9" s="84"/>
    </row>
    <row r="10" spans="1:50" ht="93" customHeight="1" x14ac:dyDescent="0.2">
      <c r="A10" s="85" t="str">
        <f>'2 CONTEXTO E IDENTIFICACIÓN'!A10</f>
        <v>R2</v>
      </c>
      <c r="B10" s="86" t="str">
        <f>+'2 CONTEXTO E IDENTIFICACIÓN'!J10</f>
        <v>Posibilidad de afectación económica y reputacional por incumplimiento en la realización de las actividades del Plan Anual de trabajo de SG-SST a causa de falta de seguimiento al cumplimiento de las tareas programadas.</v>
      </c>
      <c r="C10" s="122">
        <f>+'3 PROBABIL E IMPACTO INHERENTE'!E10</f>
        <v>0.4</v>
      </c>
      <c r="D10" s="122">
        <f>+'3 PROBABIL E IMPACTO INHERENTE'!M10</f>
        <v>0.6</v>
      </c>
      <c r="E10" s="117" t="str">
        <f>+'4 MAPA CALOR INHERENTE'!C10</f>
        <v>Baja</v>
      </c>
      <c r="F10" s="117" t="str">
        <f>+'4 MAPA CALOR INHERENTE'!D10</f>
        <v>Moderado</v>
      </c>
      <c r="G10" s="86" t="str">
        <f>+'4 MAPA CALOR INHERENTE'!E10</f>
        <v>Moderado</v>
      </c>
      <c r="H10" s="116">
        <f>+'5 VALORACIÓN DEL CONTROL'!T19</f>
        <v>0.36</v>
      </c>
      <c r="I10" s="87">
        <f>+'5 VALORACIÓN DEL CONTROL'!U19</f>
        <v>0.6</v>
      </c>
      <c r="J10" s="117" t="str">
        <f t="shared" ref="J10:J28" si="3">+IF(H10=0,"",IF(H10&lt;=$AD$13,$AE$13,IF(H10&lt;=$AD$12,$AE$12,IF(H10&lt;=$AD$11,$AE$11,IF(H10&lt;=$AD$10,$AE$10,IF(H10&lt;=$AD$9,$AE$9,""))))))</f>
        <v>Baja</v>
      </c>
      <c r="K10" s="117" t="str">
        <f t="shared" ref="K10:K28" si="4">+IF(I10=0,"",IF(I10&lt;=$AF$7,$AF$8,IF(I10&lt;=$AG$7,$AG$8,IF(I10&lt;=$AH$7,$AH$8,IF(I10&lt;=$AI$7,$AI$8,IF(I10&lt;=$AJ$7,$AJ$8,""))))))</f>
        <v>Moderado</v>
      </c>
      <c r="L10" s="8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86" t="str">
        <f t="shared" si="0"/>
        <v>Requiere Plan de Acción</v>
      </c>
      <c r="N10" s="86" t="str">
        <f t="shared" si="1"/>
        <v>Reducir_mitigar_Transferir_Evitar</v>
      </c>
      <c r="O10" s="210" t="s">
        <v>360</v>
      </c>
      <c r="P10" s="86" t="str">
        <f t="shared" si="2"/>
        <v>Reducir_Mitigar</v>
      </c>
      <c r="Q10" s="210"/>
      <c r="R10" s="210"/>
      <c r="S10" s="211"/>
      <c r="T10" s="211"/>
      <c r="U10" s="210"/>
      <c r="V10" s="210"/>
      <c r="W10" s="210"/>
      <c r="X10" s="210"/>
      <c r="Y10" s="210"/>
      <c r="Z10" s="210"/>
      <c r="AA10" s="88"/>
      <c r="AB10" s="88"/>
      <c r="AC10" s="549"/>
      <c r="AD10" s="91">
        <v>0.8</v>
      </c>
      <c r="AE10" s="82" t="s">
        <v>301</v>
      </c>
      <c r="AF10" s="93" t="s">
        <v>298</v>
      </c>
      <c r="AG10" s="93" t="s">
        <v>298</v>
      </c>
      <c r="AH10" s="89" t="s">
        <v>316</v>
      </c>
      <c r="AI10" s="89" t="s">
        <v>316</v>
      </c>
      <c r="AJ10" s="90" t="s">
        <v>317</v>
      </c>
      <c r="AM10" s="72"/>
      <c r="AN10" s="72"/>
      <c r="AO10" s="84"/>
      <c r="AP10" s="94"/>
      <c r="AQ10" s="95"/>
      <c r="AR10" s="92"/>
      <c r="AS10" s="92"/>
      <c r="AT10" s="92"/>
      <c r="AU10" s="92"/>
      <c r="AV10" s="92"/>
      <c r="AW10" s="84"/>
      <c r="AX10" s="84"/>
    </row>
    <row r="11" spans="1:50" ht="93" customHeight="1" x14ac:dyDescent="0.2">
      <c r="A11" s="85" t="str">
        <f>'2 CONTEXTO E IDENTIFICACIÓN'!A11</f>
        <v>R3</v>
      </c>
      <c r="B11" s="86" t="str">
        <f>+'2 CONTEXTO E IDENTIFICACIÓN'!J11</f>
        <v>Posibilidad de afectación económica y reputacional por inconsistencias en el calculo, liquidación y pago de la nómina y la seguridad social a causa de la no inclusión de novedades generadas.</v>
      </c>
      <c r="C11" s="122">
        <f>+'3 PROBABIL E IMPACTO INHERENTE'!E11</f>
        <v>0.8</v>
      </c>
      <c r="D11" s="122">
        <f>+'3 PROBABIL E IMPACTO INHERENTE'!M11</f>
        <v>0.4</v>
      </c>
      <c r="E11" s="117" t="str">
        <f>+'4 MAPA CALOR INHERENTE'!C11</f>
        <v>Alta</v>
      </c>
      <c r="F11" s="117" t="str">
        <f>+'4 MAPA CALOR INHERENTE'!D11</f>
        <v>Menor</v>
      </c>
      <c r="G11" s="86" t="str">
        <f>+'4 MAPA CALOR INHERENTE'!E11</f>
        <v>Moderado</v>
      </c>
      <c r="H11" s="116">
        <f>+'5 VALORACIÓN DEL CONTROL'!T25</f>
        <v>0.36</v>
      </c>
      <c r="I11" s="87">
        <f>+'5 VALORACIÓN DEL CONTROL'!U25</f>
        <v>0.4</v>
      </c>
      <c r="J11" s="117" t="str">
        <f t="shared" si="3"/>
        <v>Baja</v>
      </c>
      <c r="K11" s="117" t="str">
        <f t="shared" si="4"/>
        <v>Menor</v>
      </c>
      <c r="L11" s="8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86" t="str">
        <f t="shared" si="0"/>
        <v>Requiere Plan de Acción</v>
      </c>
      <c r="N11" s="86" t="str">
        <f t="shared" si="1"/>
        <v>Reducir_mitigar_Transferir_Evitar</v>
      </c>
      <c r="O11" s="210" t="s">
        <v>360</v>
      </c>
      <c r="P11" s="86" t="str">
        <f t="shared" si="2"/>
        <v>Reducir_Mitigar</v>
      </c>
      <c r="Q11" s="210"/>
      <c r="R11" s="210"/>
      <c r="S11" s="211"/>
      <c r="T11" s="211"/>
      <c r="U11" s="210"/>
      <c r="V11" s="210"/>
      <c r="W11" s="210"/>
      <c r="X11" s="210"/>
      <c r="Y11" s="210"/>
      <c r="Z11" s="210"/>
      <c r="AA11" s="88"/>
      <c r="AB11" s="88"/>
      <c r="AC11" s="549"/>
      <c r="AD11" s="91">
        <v>0.6</v>
      </c>
      <c r="AE11" s="82" t="s">
        <v>296</v>
      </c>
      <c r="AF11" s="93" t="s">
        <v>298</v>
      </c>
      <c r="AG11" s="93" t="s">
        <v>298</v>
      </c>
      <c r="AH11" s="93" t="s">
        <v>298</v>
      </c>
      <c r="AI11" s="89" t="s">
        <v>316</v>
      </c>
      <c r="AJ11" s="90" t="s">
        <v>317</v>
      </c>
      <c r="AM11" s="72"/>
      <c r="AN11" s="72"/>
      <c r="AO11" s="84"/>
      <c r="AP11" s="94"/>
      <c r="AQ11" s="95"/>
      <c r="AR11" s="92"/>
      <c r="AS11" s="92"/>
      <c r="AT11" s="92"/>
      <c r="AU11" s="92"/>
      <c r="AV11" s="96"/>
      <c r="AW11" s="84"/>
      <c r="AX11" s="84"/>
    </row>
    <row r="12" spans="1:50" ht="93" customHeight="1" x14ac:dyDescent="0.2">
      <c r="A12" s="85" t="str">
        <f>'2 CONTEXTO E IDENTIFICACIÓN'!A12</f>
        <v>R4</v>
      </c>
      <c r="B12" s="86" t="str">
        <f>+'2 CONTEXTO E IDENTIFICACIÓN'!J12</f>
        <v>Posibilidad de pérdida reputacional por vincular en la planta de personal o inscribir como liquidadores, agentes especiales, contralores o revisores fiscales, a aspirantes sin el cumplimiento de los requisitos a causa de la falta de verficación de los soportes presentados por los aspirantes.</v>
      </c>
      <c r="C12" s="122">
        <f>+'3 PROBABIL E IMPACTO INHERENTE'!E12</f>
        <v>0.4</v>
      </c>
      <c r="D12" s="122">
        <f>+'3 PROBABIL E IMPACTO INHERENTE'!M12</f>
        <v>0.6</v>
      </c>
      <c r="E12" s="117" t="str">
        <f>+'4 MAPA CALOR INHERENTE'!C12</f>
        <v>Baja</v>
      </c>
      <c r="F12" s="117" t="str">
        <f>+'4 MAPA CALOR INHERENTE'!D12</f>
        <v>Moderado</v>
      </c>
      <c r="G12" s="86" t="str">
        <f>+'4 MAPA CALOR INHERENTE'!E12</f>
        <v>Moderado</v>
      </c>
      <c r="H12" s="116">
        <f>+'5 VALORACIÓN DEL CONTROL'!T31</f>
        <v>0.36</v>
      </c>
      <c r="I12" s="87">
        <f>+'5 VALORACIÓN DEL CONTROL'!U31</f>
        <v>0.6</v>
      </c>
      <c r="J12" s="117" t="str">
        <f t="shared" si="3"/>
        <v>Baja</v>
      </c>
      <c r="K12" s="117" t="str">
        <f t="shared" si="4"/>
        <v>Moderado</v>
      </c>
      <c r="L12" s="86" t="str">
        <f t="shared" si="5"/>
        <v>Moderado</v>
      </c>
      <c r="M12" s="86" t="str">
        <f t="shared" si="0"/>
        <v>Requiere Plan de Acción</v>
      </c>
      <c r="N12" s="86" t="str">
        <f t="shared" si="1"/>
        <v>Reducir_mitigar_Transferir_Evitar</v>
      </c>
      <c r="O12" s="210" t="s">
        <v>360</v>
      </c>
      <c r="P12" s="86" t="str">
        <f t="shared" si="2"/>
        <v>Reducir_Mitigar</v>
      </c>
      <c r="Q12" s="210"/>
      <c r="R12" s="210"/>
      <c r="S12" s="211"/>
      <c r="T12" s="211"/>
      <c r="U12" s="210"/>
      <c r="V12" s="210"/>
      <c r="W12" s="210"/>
      <c r="X12" s="210"/>
      <c r="Y12" s="210"/>
      <c r="Z12" s="210"/>
      <c r="AA12" s="88"/>
      <c r="AB12" s="88"/>
      <c r="AC12" s="549"/>
      <c r="AD12" s="91">
        <v>0.4</v>
      </c>
      <c r="AE12" s="82" t="s">
        <v>292</v>
      </c>
      <c r="AF12" s="97" t="s">
        <v>318</v>
      </c>
      <c r="AG12" s="93" t="s">
        <v>298</v>
      </c>
      <c r="AH12" s="93" t="s">
        <v>298</v>
      </c>
      <c r="AI12" s="89" t="s">
        <v>316</v>
      </c>
      <c r="AJ12" s="90" t="s">
        <v>317</v>
      </c>
      <c r="AM12" s="72"/>
      <c r="AN12" s="72"/>
      <c r="AO12" s="84"/>
      <c r="AP12" s="94"/>
      <c r="AQ12" s="95"/>
      <c r="AR12" s="92"/>
      <c r="AS12" s="92"/>
      <c r="AT12" s="92"/>
      <c r="AU12" s="96"/>
      <c r="AV12" s="92"/>
      <c r="AW12" s="84"/>
      <c r="AX12" s="84"/>
    </row>
    <row r="13" spans="1:50" ht="93" customHeight="1" thickBot="1" x14ac:dyDescent="0.25">
      <c r="A13" s="85" t="str">
        <f>'2 CONTEXTO E IDENTIFICACIÓN'!A13</f>
        <v>R5</v>
      </c>
      <c r="B13" s="86" t="str">
        <f>+'2 CONTEXTO E IDENTIFICACIÓN'!J13</f>
        <v>Posibilidad  de efecto dañoso sobre el recurso público por no gestionar el cobro de las incapacidades de manera oportuna a causa de deficiencias en el seguimiento al tramite ante las EPS</v>
      </c>
      <c r="C13" s="122">
        <f>+'3 PROBABIL E IMPACTO INHERENTE'!E13</f>
        <v>0.4</v>
      </c>
      <c r="D13" s="122">
        <f>+'3 PROBABIL E IMPACTO INHERENTE'!M13</f>
        <v>0.4</v>
      </c>
      <c r="E13" s="117" t="str">
        <f>+'4 MAPA CALOR INHERENTE'!C13</f>
        <v>Baja</v>
      </c>
      <c r="F13" s="117" t="str">
        <f>+'4 MAPA CALOR INHERENTE'!D13</f>
        <v>Menor</v>
      </c>
      <c r="G13" s="86" t="str">
        <f>+'4 MAPA CALOR INHERENTE'!E13</f>
        <v>Moderado</v>
      </c>
      <c r="H13" s="116">
        <f>+'5 VALORACIÓN DEL CONTROL'!T37</f>
        <v>0.36</v>
      </c>
      <c r="I13" s="87">
        <f>+'5 VALORACIÓN DEL CONTROL'!U37</f>
        <v>0.4</v>
      </c>
      <c r="J13" s="117" t="str">
        <f t="shared" si="3"/>
        <v>Baja</v>
      </c>
      <c r="K13" s="117" t="str">
        <f t="shared" si="4"/>
        <v>Menor</v>
      </c>
      <c r="L13" s="86" t="str">
        <f t="shared" si="5"/>
        <v>Moderado</v>
      </c>
      <c r="M13" s="86" t="str">
        <f t="shared" si="0"/>
        <v>Requiere Plan de Acción</v>
      </c>
      <c r="N13" s="86" t="str">
        <f t="shared" si="1"/>
        <v>Reducir_mitigar_Transferir_Evitar</v>
      </c>
      <c r="O13" s="210" t="s">
        <v>360</v>
      </c>
      <c r="P13" s="86" t="str">
        <f t="shared" si="2"/>
        <v>Reducir_Mitigar</v>
      </c>
      <c r="Q13" s="210"/>
      <c r="R13" s="210"/>
      <c r="S13" s="211"/>
      <c r="T13" s="211"/>
      <c r="U13" s="210"/>
      <c r="V13" s="210"/>
      <c r="W13" s="210"/>
      <c r="X13" s="210"/>
      <c r="Y13" s="210"/>
      <c r="Z13" s="210"/>
      <c r="AA13" s="88"/>
      <c r="AB13" s="88"/>
      <c r="AC13" s="550"/>
      <c r="AD13" s="103">
        <v>0.2</v>
      </c>
      <c r="AE13" s="104" t="s">
        <v>288</v>
      </c>
      <c r="AF13" s="99" t="s">
        <v>318</v>
      </c>
      <c r="AG13" s="99" t="s">
        <v>318</v>
      </c>
      <c r="AH13" s="100" t="s">
        <v>298</v>
      </c>
      <c r="AI13" s="101" t="s">
        <v>316</v>
      </c>
      <c r="AJ13" s="102" t="s">
        <v>317</v>
      </c>
      <c r="AM13" s="72"/>
      <c r="AN13" s="72"/>
      <c r="AO13" s="84"/>
      <c r="AP13" s="94"/>
      <c r="AQ13" s="95"/>
      <c r="AR13" s="92"/>
      <c r="AS13" s="92"/>
      <c r="AT13" s="92"/>
      <c r="AU13" s="105"/>
      <c r="AV13" s="92"/>
      <c r="AW13" s="84"/>
      <c r="AX13" s="84"/>
    </row>
    <row r="14" spans="1:50" ht="93" hidden="1" customHeight="1" x14ac:dyDescent="0.2">
      <c r="A14" s="85" t="str">
        <f>'2 CONTEXTO E IDENTIFICACIÓN'!A14</f>
        <v>R6</v>
      </c>
      <c r="B14" s="86" t="str">
        <f>+'2 CONTEXTO E IDENTIFICACIÓN'!J14</f>
        <v xml:space="preserve"> por a causa de </v>
      </c>
      <c r="C14" s="122" t="str">
        <f>+'3 PROBABIL E IMPACTO INHERENTE'!E14</f>
        <v/>
      </c>
      <c r="D14" s="122" t="str">
        <f>+'3 PROBABIL E IMPACTO INHERENTE'!M14</f>
        <v/>
      </c>
      <c r="E14" s="117" t="str">
        <f>+'4 MAPA CALOR INHERENTE'!C14</f>
        <v/>
      </c>
      <c r="F14" s="117" t="str">
        <f>+'4 MAPA CALOR INHERENTE'!D14</f>
        <v/>
      </c>
      <c r="G14" s="86" t="str">
        <f>+'4 MAPA CALOR INHERENTE'!E14</f>
        <v/>
      </c>
      <c r="H14" s="116">
        <f>+'5 VALORACIÓN DEL CONTROL'!T43</f>
        <v>0.36</v>
      </c>
      <c r="I14" s="87" t="str">
        <f>+'5 VALORACIÓN DEL CONTROL'!U43</f>
        <v/>
      </c>
      <c r="J14" s="117" t="str">
        <f t="shared" si="3"/>
        <v>Baja</v>
      </c>
      <c r="K14" s="117" t="str">
        <f t="shared" si="4"/>
        <v/>
      </c>
      <c r="L14" s="86" t="b">
        <f t="shared" si="5"/>
        <v>0</v>
      </c>
      <c r="M14" s="86" t="b">
        <f t="shared" si="0"/>
        <v>0</v>
      </c>
      <c r="N14" s="86" t="b">
        <f t="shared" si="1"/>
        <v>0</v>
      </c>
      <c r="O14" s="210"/>
      <c r="P14" s="86">
        <f t="shared" si="2"/>
        <v>0</v>
      </c>
      <c r="Q14" s="210"/>
      <c r="R14" s="210"/>
      <c r="S14" s="211"/>
      <c r="T14" s="211"/>
      <c r="U14" s="210"/>
      <c r="V14" s="210"/>
      <c r="W14" s="210"/>
      <c r="X14" s="210"/>
      <c r="Y14" s="210"/>
      <c r="Z14" s="210"/>
      <c r="AA14" s="88"/>
      <c r="AB14" s="88"/>
      <c r="AM14" s="72"/>
      <c r="AN14" s="72"/>
      <c r="AO14" s="84"/>
      <c r="AP14" s="94"/>
      <c r="AQ14" s="95"/>
      <c r="AR14" s="92"/>
      <c r="AS14" s="92"/>
      <c r="AT14" s="92"/>
      <c r="AU14" s="92"/>
      <c r="AV14" s="92"/>
      <c r="AW14" s="84"/>
      <c r="AX14" s="84"/>
    </row>
    <row r="15" spans="1:50" ht="93" hidden="1" customHeight="1" x14ac:dyDescent="0.2">
      <c r="A15" s="85" t="str">
        <f>'2 CONTEXTO E IDENTIFICACIÓN'!A15</f>
        <v>R7</v>
      </c>
      <c r="B15" s="86" t="str">
        <f>+'2 CONTEXTO E IDENTIFICACIÓN'!J15</f>
        <v xml:space="preserve"> por a causa de </v>
      </c>
      <c r="C15" s="122" t="str">
        <f>+'3 PROBABIL E IMPACTO INHERENTE'!E15</f>
        <v/>
      </c>
      <c r="D15" s="122" t="str">
        <f>+'3 PROBABIL E IMPACTO INHERENTE'!M15</f>
        <v/>
      </c>
      <c r="E15" s="117" t="str">
        <f>+'4 MAPA CALOR INHERENTE'!C15</f>
        <v/>
      </c>
      <c r="F15" s="117" t="str">
        <f>+'4 MAPA CALOR INHERENTE'!D15</f>
        <v/>
      </c>
      <c r="G15" s="86" t="str">
        <f>+'4 MAPA CALOR INHERENTE'!E15</f>
        <v/>
      </c>
      <c r="H15" s="116">
        <f>+'5 VALORACIÓN DEL CONTROL'!T49</f>
        <v>0.36</v>
      </c>
      <c r="I15" s="87" t="str">
        <f>+'5 VALORACIÓN DEL CONTROL'!U49</f>
        <v/>
      </c>
      <c r="J15" s="117" t="str">
        <f t="shared" si="3"/>
        <v>Baja</v>
      </c>
      <c r="K15" s="117" t="str">
        <f t="shared" si="4"/>
        <v/>
      </c>
      <c r="L15" s="86" t="b">
        <f t="shared" si="5"/>
        <v>0</v>
      </c>
      <c r="M15" s="86" t="b">
        <f t="shared" si="0"/>
        <v>0</v>
      </c>
      <c r="N15" s="86" t="b">
        <f t="shared" si="1"/>
        <v>0</v>
      </c>
      <c r="O15" s="210"/>
      <c r="P15" s="86">
        <f t="shared" si="2"/>
        <v>0</v>
      </c>
      <c r="Q15" s="210"/>
      <c r="R15" s="210"/>
      <c r="S15" s="211"/>
      <c r="T15" s="211"/>
      <c r="U15" s="210"/>
      <c r="V15" s="210"/>
      <c r="W15" s="210"/>
      <c r="X15" s="210"/>
      <c r="Y15" s="210"/>
      <c r="Z15" s="210"/>
      <c r="AA15" s="88"/>
      <c r="AB15" s="88"/>
      <c r="AF15" s="76" t="s">
        <v>319</v>
      </c>
      <c r="AG15" s="76" t="s">
        <v>71</v>
      </c>
      <c r="AH15" s="76" t="s">
        <v>73</v>
      </c>
      <c r="AJ15" s="81" t="s">
        <v>361</v>
      </c>
      <c r="AK15" s="72"/>
      <c r="AL15" s="72"/>
      <c r="AM15" s="72"/>
      <c r="AN15" s="72"/>
      <c r="AO15" s="84"/>
      <c r="AP15" s="94"/>
      <c r="AQ15" s="84"/>
      <c r="AR15" s="95"/>
      <c r="AS15" s="95"/>
      <c r="AT15" s="95"/>
      <c r="AU15" s="95"/>
      <c r="AV15" s="95"/>
      <c r="AW15" s="84"/>
      <c r="AX15" s="84"/>
    </row>
    <row r="16" spans="1:50" ht="93" hidden="1" customHeight="1" x14ac:dyDescent="0.2">
      <c r="A16" s="85" t="str">
        <f>'2 CONTEXTO E IDENTIFICACIÓN'!A16</f>
        <v>R8</v>
      </c>
      <c r="B16" s="86" t="str">
        <f>+'2 CONTEXTO E IDENTIFICACIÓN'!J16</f>
        <v xml:space="preserve"> por a causa de </v>
      </c>
      <c r="C16" s="122" t="str">
        <f>+'3 PROBABIL E IMPACTO INHERENTE'!E16</f>
        <v/>
      </c>
      <c r="D16" s="122" t="str">
        <f>+'3 PROBABIL E IMPACTO INHERENTE'!M16</f>
        <v/>
      </c>
      <c r="E16" s="117" t="str">
        <f>+'4 MAPA CALOR INHERENTE'!C16</f>
        <v/>
      </c>
      <c r="F16" s="117" t="str">
        <f>+'4 MAPA CALOR INHERENTE'!D16</f>
        <v/>
      </c>
      <c r="G16" s="86" t="str">
        <f>+'4 MAPA CALOR INHERENTE'!E16</f>
        <v/>
      </c>
      <c r="H16" s="116">
        <f>+'5 VALORACIÓN DEL CONTROL'!T55</f>
        <v>0.36</v>
      </c>
      <c r="I16" s="87" t="str">
        <f>+'5 VALORACIÓN DEL CONTROL'!U55</f>
        <v/>
      </c>
      <c r="J16" s="117" t="str">
        <f t="shared" si="3"/>
        <v>Baja</v>
      </c>
      <c r="K16" s="117" t="str">
        <f t="shared" si="4"/>
        <v/>
      </c>
      <c r="L16" s="86" t="b">
        <f t="shared" si="5"/>
        <v>0</v>
      </c>
      <c r="M16" s="86" t="b">
        <f t="shared" si="0"/>
        <v>0</v>
      </c>
      <c r="N16" s="86" t="b">
        <f t="shared" si="1"/>
        <v>0</v>
      </c>
      <c r="O16" s="210"/>
      <c r="P16" s="86">
        <f t="shared" si="2"/>
        <v>0</v>
      </c>
      <c r="Q16" s="210"/>
      <c r="R16" s="210"/>
      <c r="S16" s="211"/>
      <c r="T16" s="211"/>
      <c r="U16" s="210"/>
      <c r="V16" s="210"/>
      <c r="W16" s="210"/>
      <c r="X16" s="210"/>
      <c r="Y16" s="210"/>
      <c r="Z16" s="210"/>
      <c r="AA16" s="88"/>
      <c r="AB16" s="88"/>
      <c r="AF16" s="106" t="s">
        <v>317</v>
      </c>
      <c r="AG16" s="81" t="s">
        <v>361</v>
      </c>
      <c r="AH16" s="81" t="s">
        <v>362</v>
      </c>
      <c r="AI16" s="72"/>
      <c r="AJ16" s="301" t="s">
        <v>360</v>
      </c>
      <c r="AM16" s="72"/>
      <c r="AN16" s="72"/>
      <c r="AO16" s="84"/>
      <c r="AP16" s="84"/>
      <c r="AQ16" s="84"/>
      <c r="AR16" s="92"/>
      <c r="AS16" s="92"/>
      <c r="AT16" s="92"/>
      <c r="AU16" s="92"/>
      <c r="AV16" s="92"/>
      <c r="AW16" s="84"/>
      <c r="AX16" s="84"/>
    </row>
    <row r="17" spans="1:50" ht="93" hidden="1" customHeight="1" x14ac:dyDescent="0.2">
      <c r="A17" s="85" t="str">
        <f>'2 CONTEXTO E IDENTIFICACIÓN'!A17</f>
        <v>R9</v>
      </c>
      <c r="B17" s="86" t="str">
        <f>+'2 CONTEXTO E IDENTIFICACIÓN'!J17</f>
        <v xml:space="preserve"> por a causa de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0.36</v>
      </c>
      <c r="I17" s="87" t="str">
        <f>+'5 VALORACIÓN DEL CONTROL'!U61</f>
        <v/>
      </c>
      <c r="J17" s="117" t="str">
        <f t="shared" si="3"/>
        <v>Baja</v>
      </c>
      <c r="K17" s="117" t="str">
        <f t="shared" si="4"/>
        <v/>
      </c>
      <c r="L17" s="86" t="b">
        <f t="shared" si="5"/>
        <v>0</v>
      </c>
      <c r="M17" s="86" t="b">
        <f t="shared" si="0"/>
        <v>0</v>
      </c>
      <c r="N17" s="86" t="b">
        <f t="shared" si="1"/>
        <v>0</v>
      </c>
      <c r="O17" s="210"/>
      <c r="P17" s="86">
        <f t="shared" si="2"/>
        <v>0</v>
      </c>
      <c r="Q17" s="210"/>
      <c r="R17" s="210"/>
      <c r="S17" s="211"/>
      <c r="T17" s="211"/>
      <c r="U17" s="210"/>
      <c r="V17" s="210"/>
      <c r="W17" s="210"/>
      <c r="X17" s="210"/>
      <c r="Y17" s="210"/>
      <c r="Z17" s="210"/>
      <c r="AA17" s="88"/>
      <c r="AB17" s="88"/>
      <c r="AF17" s="89" t="s">
        <v>316</v>
      </c>
      <c r="AG17" s="81" t="s">
        <v>361</v>
      </c>
      <c r="AH17" s="81" t="s">
        <v>362</v>
      </c>
      <c r="AI17" s="72"/>
      <c r="AJ17" s="301" t="s">
        <v>363</v>
      </c>
      <c r="AK17" s="72"/>
      <c r="AL17" s="72"/>
      <c r="AM17" s="72"/>
      <c r="AN17" s="72"/>
      <c r="AO17" s="84"/>
      <c r="AP17" s="84"/>
      <c r="AQ17" s="84"/>
      <c r="AR17" s="92"/>
      <c r="AS17" s="92"/>
      <c r="AT17" s="92"/>
      <c r="AU17" s="92"/>
      <c r="AV17" s="92"/>
      <c r="AW17" s="84"/>
      <c r="AX17" s="84"/>
    </row>
    <row r="18" spans="1:50" ht="93" hidden="1" customHeight="1" x14ac:dyDescent="0.2">
      <c r="A18" s="85" t="str">
        <f>'2 CONTEXTO E IDENTIFICACIÓN'!A18</f>
        <v>R10</v>
      </c>
      <c r="B18" s="86" t="str">
        <f>+'2 CONTEXTO E IDENTIFICACIÓN'!J18</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0.36</v>
      </c>
      <c r="I18" s="87" t="str">
        <f>+'5 VALORACIÓN DEL CONTROL'!U67</f>
        <v/>
      </c>
      <c r="J18" s="117" t="str">
        <f t="shared" si="3"/>
        <v>Baja</v>
      </c>
      <c r="K18" s="117" t="str">
        <f t="shared" si="4"/>
        <v/>
      </c>
      <c r="L18" s="86" t="b">
        <f t="shared" si="5"/>
        <v>0</v>
      </c>
      <c r="M18" s="86" t="b">
        <f t="shared" si="0"/>
        <v>0</v>
      </c>
      <c r="N18" s="86" t="b">
        <f t="shared" si="1"/>
        <v>0</v>
      </c>
      <c r="O18" s="210"/>
      <c r="P18" s="86">
        <f t="shared" si="2"/>
        <v>0</v>
      </c>
      <c r="Q18" s="210"/>
      <c r="R18" s="210"/>
      <c r="S18" s="211"/>
      <c r="T18" s="211"/>
      <c r="U18" s="210"/>
      <c r="V18" s="210"/>
      <c r="W18" s="210"/>
      <c r="X18" s="210"/>
      <c r="Y18" s="210"/>
      <c r="Z18" s="210"/>
      <c r="AA18" s="88"/>
      <c r="AB18" s="88"/>
      <c r="AE18" s="107"/>
      <c r="AF18" s="93" t="s">
        <v>298</v>
      </c>
      <c r="AG18" s="81" t="s">
        <v>361</v>
      </c>
      <c r="AH18" s="81" t="s">
        <v>362</v>
      </c>
      <c r="AI18" s="107"/>
      <c r="AJ18" s="301" t="s">
        <v>180</v>
      </c>
      <c r="AK18" s="107"/>
      <c r="AL18" s="107"/>
      <c r="AM18" s="107"/>
      <c r="AN18" s="107"/>
      <c r="AO18" s="84"/>
      <c r="AP18" s="84"/>
      <c r="AQ18" s="108"/>
      <c r="AR18" s="108"/>
      <c r="AS18" s="108"/>
      <c r="AT18" s="108"/>
      <c r="AU18" s="108"/>
      <c r="AV18" s="108"/>
      <c r="AW18" s="84"/>
      <c r="AX18" s="84"/>
    </row>
    <row r="19" spans="1:50" ht="93" hidden="1" customHeight="1" x14ac:dyDescent="0.2">
      <c r="A19" s="85" t="str">
        <f>'2 CONTEXTO E IDENTIFICACIÓN'!A19</f>
        <v>R11</v>
      </c>
      <c r="B19" s="86" t="str">
        <f>+'2 CONTEXTO E IDENTIFICACIÓN'!J19</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0.36</v>
      </c>
      <c r="I19" s="87" t="str">
        <f>+'5 VALORACIÓN DEL CONTROL'!U73</f>
        <v/>
      </c>
      <c r="J19" s="117" t="str">
        <f t="shared" si="3"/>
        <v>Baja</v>
      </c>
      <c r="K19" s="117" t="str">
        <f t="shared" si="4"/>
        <v/>
      </c>
      <c r="L19" s="86" t="b">
        <f t="shared" si="5"/>
        <v>0</v>
      </c>
      <c r="M19" s="86" t="b">
        <f t="shared" si="0"/>
        <v>0</v>
      </c>
      <c r="N19" s="86" t="b">
        <f t="shared" si="1"/>
        <v>0</v>
      </c>
      <c r="O19" s="210"/>
      <c r="P19" s="86">
        <f t="shared" si="2"/>
        <v>0</v>
      </c>
      <c r="Q19" s="210"/>
      <c r="R19" s="210"/>
      <c r="S19" s="211"/>
      <c r="T19" s="211"/>
      <c r="U19" s="210"/>
      <c r="V19" s="210"/>
      <c r="W19" s="210"/>
      <c r="X19" s="210"/>
      <c r="Y19" s="210"/>
      <c r="Z19" s="210"/>
      <c r="AA19" s="88"/>
      <c r="AB19" s="88"/>
      <c r="AE19" s="107"/>
      <c r="AF19" s="97" t="s">
        <v>318</v>
      </c>
      <c r="AG19" s="81" t="s">
        <v>177</v>
      </c>
      <c r="AH19" s="81" t="s">
        <v>364</v>
      </c>
      <c r="AM19" s="107"/>
      <c r="AN19" s="107"/>
      <c r="AO19" s="84"/>
      <c r="AP19" s="84"/>
      <c r="AQ19" s="84"/>
      <c r="AR19" s="92"/>
      <c r="AS19" s="92"/>
      <c r="AT19" s="92"/>
      <c r="AU19" s="92"/>
      <c r="AV19" s="92"/>
      <c r="AW19" s="84"/>
      <c r="AX19" s="84"/>
    </row>
    <row r="20" spans="1:50" ht="93" hidden="1" customHeight="1" x14ac:dyDescent="0.2">
      <c r="A20" s="85" t="str">
        <f>'2 CONTEXTO E IDENTIFICACIÓN'!A20</f>
        <v>R12</v>
      </c>
      <c r="B20" s="86" t="str">
        <f>+'2 CONTEXTO E IDENTIFICACIÓN'!J20</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0.36</v>
      </c>
      <c r="I20" s="87" t="str">
        <f>+'5 VALORACIÓN DEL CONTROL'!U79</f>
        <v/>
      </c>
      <c r="J20" s="117" t="str">
        <f t="shared" si="3"/>
        <v>Baja</v>
      </c>
      <c r="K20" s="117" t="str">
        <f t="shared" si="4"/>
        <v/>
      </c>
      <c r="L20" s="86" t="b">
        <f t="shared" si="5"/>
        <v>0</v>
      </c>
      <c r="M20" s="86" t="b">
        <f t="shared" si="0"/>
        <v>0</v>
      </c>
      <c r="N20" s="86" t="b">
        <f t="shared" si="1"/>
        <v>0</v>
      </c>
      <c r="O20" s="210"/>
      <c r="P20" s="86">
        <f t="shared" si="2"/>
        <v>0</v>
      </c>
      <c r="Q20" s="210"/>
      <c r="R20" s="210"/>
      <c r="S20" s="211"/>
      <c r="T20" s="211"/>
      <c r="U20" s="210"/>
      <c r="V20" s="210"/>
      <c r="W20" s="210"/>
      <c r="X20" s="210"/>
      <c r="Y20" s="210"/>
      <c r="Z20" s="210"/>
      <c r="AA20" s="88"/>
      <c r="AB20" s="88"/>
      <c r="AC20" s="109"/>
      <c r="AD20" s="109"/>
      <c r="AE20" s="107"/>
      <c r="AF20" s="186"/>
      <c r="AM20" s="107"/>
      <c r="AN20" s="107"/>
      <c r="AO20" s="84"/>
      <c r="AP20" s="84"/>
      <c r="AQ20" s="84"/>
      <c r="AR20" s="92"/>
      <c r="AS20" s="92"/>
      <c r="AT20" s="92"/>
      <c r="AU20" s="92"/>
      <c r="AV20" s="92"/>
      <c r="AW20" s="84"/>
      <c r="AX20" s="84"/>
    </row>
    <row r="21" spans="1:50" ht="93" hidden="1" customHeight="1" x14ac:dyDescent="0.2">
      <c r="A21" s="85" t="str">
        <f>'2 CONTEXTO E IDENTIFICACIÓN'!A21</f>
        <v>R13</v>
      </c>
      <c r="B21" s="86" t="str">
        <f>+'2 CONTEXTO E IDENTIFICACIÓN'!J21</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0.36</v>
      </c>
      <c r="I21" s="87" t="str">
        <f>+'5 VALORACIÓN DEL CONTROL'!U85</f>
        <v/>
      </c>
      <c r="J21" s="117" t="str">
        <f t="shared" si="3"/>
        <v>Baja</v>
      </c>
      <c r="K21" s="117" t="str">
        <f t="shared" si="4"/>
        <v/>
      </c>
      <c r="L21" s="86" t="b">
        <f t="shared" si="5"/>
        <v>0</v>
      </c>
      <c r="M21" s="86" t="b">
        <f t="shared" si="0"/>
        <v>0</v>
      </c>
      <c r="N21" s="86" t="b">
        <f t="shared" si="1"/>
        <v>0</v>
      </c>
      <c r="O21" s="210"/>
      <c r="P21" s="86">
        <f t="shared" si="2"/>
        <v>0</v>
      </c>
      <c r="Q21" s="210"/>
      <c r="R21" s="210"/>
      <c r="S21" s="211"/>
      <c r="T21" s="211"/>
      <c r="U21" s="210"/>
      <c r="V21" s="210"/>
      <c r="W21" s="210"/>
      <c r="X21" s="210"/>
      <c r="Y21" s="210"/>
      <c r="Z21" s="210"/>
      <c r="AA21" s="88"/>
      <c r="AB21" s="88"/>
      <c r="AC21" s="109"/>
      <c r="AD21" s="109"/>
      <c r="AE21" s="110"/>
      <c r="AM21" s="107"/>
      <c r="AN21" s="107"/>
      <c r="AO21" s="84"/>
      <c r="AP21" s="105"/>
      <c r="AQ21" s="105"/>
      <c r="AR21" s="105"/>
      <c r="AS21" s="105"/>
      <c r="AT21" s="105"/>
      <c r="AU21" s="105"/>
      <c r="AV21" s="92"/>
      <c r="AW21" s="84"/>
      <c r="AX21" s="84"/>
    </row>
    <row r="22" spans="1:50" ht="93" hidden="1" customHeight="1" x14ac:dyDescent="0.2">
      <c r="A22" s="85" t="str">
        <f>'2 CONTEXTO E IDENTIFICACIÓN'!A22</f>
        <v>R14</v>
      </c>
      <c r="B22" s="86" t="str">
        <f>+'2 CONTEXTO E IDENTIFICACIÓN'!J22</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0.36</v>
      </c>
      <c r="I22" s="87" t="str">
        <f>+'5 VALORACIÓN DEL CONTROL'!U91</f>
        <v/>
      </c>
      <c r="J22" s="117" t="str">
        <f t="shared" si="3"/>
        <v>Baja</v>
      </c>
      <c r="K22" s="117" t="str">
        <f t="shared" si="4"/>
        <v/>
      </c>
      <c r="L22" s="86" t="b">
        <f t="shared" si="5"/>
        <v>0</v>
      </c>
      <c r="M22" s="86" t="b">
        <f t="shared" si="0"/>
        <v>0</v>
      </c>
      <c r="N22" s="86" t="b">
        <f t="shared" si="1"/>
        <v>0</v>
      </c>
      <c r="O22" s="210"/>
      <c r="P22" s="86">
        <f t="shared" si="2"/>
        <v>0</v>
      </c>
      <c r="Q22" s="210"/>
      <c r="R22" s="210"/>
      <c r="S22" s="211"/>
      <c r="T22" s="211"/>
      <c r="U22" s="210"/>
      <c r="V22" s="210"/>
      <c r="W22" s="210"/>
      <c r="X22" s="210"/>
      <c r="Y22" s="210"/>
      <c r="Z22" s="210"/>
      <c r="AA22" s="88"/>
      <c r="AB22" s="88"/>
      <c r="AC22" s="109"/>
      <c r="AD22" s="109"/>
      <c r="AO22" s="84"/>
      <c r="AP22" s="111"/>
      <c r="AQ22" s="111"/>
      <c r="AR22" s="111"/>
      <c r="AS22" s="111"/>
      <c r="AT22" s="111"/>
      <c r="AU22" s="111"/>
      <c r="AV22" s="92"/>
      <c r="AW22" s="84"/>
      <c r="AX22" s="84"/>
    </row>
    <row r="23" spans="1:50" ht="93" hidden="1" customHeight="1" x14ac:dyDescent="0.2">
      <c r="A23" s="85" t="str">
        <f>'2 CONTEXTO E IDENTIFICACIÓN'!A23</f>
        <v>R15</v>
      </c>
      <c r="B23" s="86" t="str">
        <f>+'2 CONTEXTO E IDENTIFICACIÓN'!J23</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0.36</v>
      </c>
      <c r="I23" s="87">
        <f>+'5 VALORACIÓN DEL CONTROL'!U97</f>
        <v>0</v>
      </c>
      <c r="J23" s="117" t="str">
        <f t="shared" si="3"/>
        <v>Baja</v>
      </c>
      <c r="K23" s="117" t="str">
        <f t="shared" si="4"/>
        <v/>
      </c>
      <c r="L23" s="86" t="b">
        <f t="shared" si="5"/>
        <v>0</v>
      </c>
      <c r="M23" s="86" t="b">
        <f t="shared" si="0"/>
        <v>0</v>
      </c>
      <c r="N23" s="86" t="b">
        <f t="shared" si="1"/>
        <v>0</v>
      </c>
      <c r="O23" s="210"/>
      <c r="P23" s="86">
        <f t="shared" si="2"/>
        <v>0</v>
      </c>
      <c r="Q23" s="210"/>
      <c r="R23" s="210"/>
      <c r="S23" s="211"/>
      <c r="T23" s="211"/>
      <c r="U23" s="210"/>
      <c r="V23" s="210"/>
      <c r="W23" s="210"/>
      <c r="X23" s="210"/>
      <c r="Y23" s="210"/>
      <c r="Z23" s="210"/>
      <c r="AA23" s="88"/>
      <c r="AB23" s="88"/>
      <c r="AC23" s="109"/>
      <c r="AD23" s="109"/>
      <c r="AO23" s="84"/>
      <c r="AP23" s="105"/>
      <c r="AQ23" s="105"/>
      <c r="AR23" s="105"/>
      <c r="AS23" s="105"/>
      <c r="AT23" s="105"/>
      <c r="AU23" s="105"/>
      <c r="AV23" s="92"/>
      <c r="AW23" s="84"/>
      <c r="AX23" s="84"/>
    </row>
    <row r="24" spans="1:50" ht="93" hidden="1" customHeight="1" x14ac:dyDescent="0.2">
      <c r="A24" s="85" t="str">
        <f>'2 CONTEXTO E IDENTIFICACIÓN'!A24</f>
        <v>R16</v>
      </c>
      <c r="B24" s="86" t="str">
        <f>+'2 CONTEXTO E IDENTIFICACIÓN'!J24</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0.36</v>
      </c>
      <c r="I24" s="87">
        <f>+'5 VALORACIÓN DEL CONTROL'!U103</f>
        <v>0</v>
      </c>
      <c r="J24" s="117" t="str">
        <f t="shared" si="3"/>
        <v>Baja</v>
      </c>
      <c r="K24" s="117" t="str">
        <f t="shared" si="4"/>
        <v/>
      </c>
      <c r="L24" s="86" t="b">
        <f t="shared" si="5"/>
        <v>0</v>
      </c>
      <c r="M24" s="86" t="b">
        <f t="shared" si="0"/>
        <v>0</v>
      </c>
      <c r="N24" s="86" t="b">
        <f t="shared" si="1"/>
        <v>0</v>
      </c>
      <c r="O24" s="210"/>
      <c r="P24" s="86">
        <f t="shared" si="2"/>
        <v>0</v>
      </c>
      <c r="Q24" s="210"/>
      <c r="R24" s="210"/>
      <c r="S24" s="211"/>
      <c r="T24" s="211"/>
      <c r="U24" s="210"/>
      <c r="V24" s="210"/>
      <c r="W24" s="210"/>
      <c r="X24" s="210"/>
      <c r="Y24" s="210"/>
      <c r="Z24" s="210"/>
      <c r="AA24" s="88"/>
      <c r="AB24" s="88"/>
      <c r="AO24" s="84"/>
      <c r="AP24" s="105"/>
      <c r="AQ24" s="105"/>
      <c r="AR24" s="105"/>
      <c r="AS24" s="105"/>
      <c r="AT24" s="105"/>
      <c r="AU24" s="105"/>
      <c r="AV24" s="92"/>
      <c r="AW24" s="84"/>
      <c r="AX24" s="84"/>
    </row>
    <row r="25" spans="1:50" ht="93" hidden="1" customHeight="1" x14ac:dyDescent="0.25">
      <c r="A25" s="85" t="str">
        <f>'2 CONTEXTO E IDENTIFICACIÓN'!A25</f>
        <v>R17</v>
      </c>
      <c r="B25" s="86" t="str">
        <f>+'2 CONTEXTO E IDENTIFICACIÓN'!J25</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0.36</v>
      </c>
      <c r="I25" s="87">
        <f>+'5 VALORACIÓN DEL CONTROL'!U109</f>
        <v>0</v>
      </c>
      <c r="J25" s="117" t="str">
        <f t="shared" si="3"/>
        <v>Baja</v>
      </c>
      <c r="K25" s="117" t="str">
        <f t="shared" si="4"/>
        <v/>
      </c>
      <c r="L25" s="86" t="b">
        <f t="shared" si="5"/>
        <v>0</v>
      </c>
      <c r="M25" s="86" t="b">
        <f t="shared" si="0"/>
        <v>0</v>
      </c>
      <c r="N25" s="86" t="b">
        <f t="shared" si="1"/>
        <v>0</v>
      </c>
      <c r="O25" s="210"/>
      <c r="P25" s="86">
        <f t="shared" si="2"/>
        <v>0</v>
      </c>
      <c r="Q25" s="210"/>
      <c r="R25" s="210"/>
      <c r="S25" s="211"/>
      <c r="T25" s="211"/>
      <c r="U25" s="210"/>
      <c r="V25" s="210"/>
      <c r="W25" s="210"/>
      <c r="X25" s="210"/>
      <c r="Y25" s="210"/>
      <c r="Z25" s="210"/>
      <c r="AA25" s="88"/>
      <c r="AB25" s="88"/>
    </row>
    <row r="26" spans="1:50" ht="93" hidden="1" customHeight="1" x14ac:dyDescent="0.25">
      <c r="A26" s="85" t="str">
        <f>'2 CONTEXTO E IDENTIFICACIÓN'!A26</f>
        <v>R18</v>
      </c>
      <c r="B26" s="86" t="str">
        <f>+'2 CONTEXTO E IDENTIFICACIÓN'!J26</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0.36</v>
      </c>
      <c r="I26" s="87">
        <f>+'5 VALORACIÓN DEL CONTROL'!U115</f>
        <v>0</v>
      </c>
      <c r="J26" s="117" t="str">
        <f t="shared" si="3"/>
        <v>Baja</v>
      </c>
      <c r="K26" s="117" t="str">
        <f t="shared" si="4"/>
        <v/>
      </c>
      <c r="L26" s="86" t="b">
        <f t="shared" si="5"/>
        <v>0</v>
      </c>
      <c r="M26" s="86" t="b">
        <f t="shared" si="0"/>
        <v>0</v>
      </c>
      <c r="N26" s="86" t="b">
        <f t="shared" si="1"/>
        <v>0</v>
      </c>
      <c r="O26" s="210"/>
      <c r="P26" s="86">
        <f t="shared" si="2"/>
        <v>0</v>
      </c>
      <c r="Q26" s="210"/>
      <c r="R26" s="210"/>
      <c r="S26" s="211"/>
      <c r="T26" s="211"/>
      <c r="U26" s="210"/>
      <c r="V26" s="210"/>
      <c r="W26" s="210"/>
      <c r="X26" s="210"/>
      <c r="Y26" s="210"/>
      <c r="Z26" s="210"/>
      <c r="AA26" s="88"/>
      <c r="AB26" s="88"/>
    </row>
    <row r="27" spans="1:50" ht="93" hidden="1" customHeight="1" x14ac:dyDescent="0.25">
      <c r="A27" s="85" t="str">
        <f>'2 CONTEXTO E IDENTIFICACIÓN'!A27</f>
        <v>R19</v>
      </c>
      <c r="B27" s="86" t="str">
        <f>+'2 CONTEXTO E IDENTIFICACIÓN'!J27</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0.6</v>
      </c>
      <c r="I27" s="87">
        <f>+'5 VALORACIÓN DEL CONTROL'!U121</f>
        <v>0</v>
      </c>
      <c r="J27" s="117" t="str">
        <f t="shared" si="3"/>
        <v>Media</v>
      </c>
      <c r="K27" s="117" t="str">
        <f t="shared" si="4"/>
        <v/>
      </c>
      <c r="L27" s="86" t="b">
        <f t="shared" si="5"/>
        <v>0</v>
      </c>
      <c r="M27" s="86" t="b">
        <f t="shared" si="0"/>
        <v>0</v>
      </c>
      <c r="N27" s="86" t="b">
        <f t="shared" si="1"/>
        <v>0</v>
      </c>
      <c r="O27" s="210"/>
      <c r="P27" s="86">
        <f t="shared" si="2"/>
        <v>0</v>
      </c>
      <c r="Q27" s="210"/>
      <c r="R27" s="210"/>
      <c r="S27" s="211"/>
      <c r="T27" s="211"/>
      <c r="U27" s="210"/>
      <c r="V27" s="210"/>
      <c r="W27" s="210"/>
      <c r="X27" s="210"/>
      <c r="Y27" s="210"/>
      <c r="Z27" s="210"/>
      <c r="AA27" s="88"/>
      <c r="AB27" s="88"/>
    </row>
    <row r="28" spans="1:50" ht="93" hidden="1" customHeight="1" x14ac:dyDescent="0.25">
      <c r="A28" s="85" t="str">
        <f>'2 CONTEXTO E IDENTIFICACIÓN'!A28</f>
        <v>R20</v>
      </c>
      <c r="B28" s="86" t="str">
        <f>+'2 CONTEXTO E IDENTIFICACIÓN'!J28</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0.36</v>
      </c>
      <c r="I28" s="87">
        <f>+'5 VALORACIÓN DEL CONTROL'!U127</f>
        <v>0</v>
      </c>
      <c r="J28" s="117" t="str">
        <f t="shared" si="3"/>
        <v>Baja</v>
      </c>
      <c r="K28" s="117" t="str">
        <f t="shared" si="4"/>
        <v/>
      </c>
      <c r="L28" s="86" t="b">
        <f t="shared" si="5"/>
        <v>0</v>
      </c>
      <c r="M28" s="86" t="b">
        <f t="shared" si="0"/>
        <v>0</v>
      </c>
      <c r="N28" s="86" t="b">
        <f t="shared" si="1"/>
        <v>0</v>
      </c>
      <c r="O28" s="210"/>
      <c r="P28" s="86">
        <f t="shared" si="2"/>
        <v>0</v>
      </c>
      <c r="Q28" s="210"/>
      <c r="R28" s="210"/>
      <c r="S28" s="211"/>
      <c r="T28" s="211"/>
      <c r="U28" s="210"/>
      <c r="V28" s="210"/>
      <c r="W28" s="210"/>
      <c r="X28" s="210"/>
      <c r="Y28" s="210"/>
      <c r="Z28" s="210"/>
      <c r="AA28" s="88"/>
      <c r="AB28" s="88"/>
    </row>
    <row r="29" spans="1:50" ht="14.45" hidden="1" customHeight="1" x14ac:dyDescent="0.25">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 customHeight="1" x14ac:dyDescent="0.25">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25">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25">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25">
      <c r="E33" s="118"/>
      <c r="F33" s="118"/>
      <c r="H33" s="73"/>
      <c r="J33" s="118"/>
      <c r="K33" s="118"/>
      <c r="S33" s="123"/>
      <c r="T33" s="123"/>
      <c r="AM33" s="73"/>
      <c r="AN33" s="73"/>
      <c r="AO33" s="73"/>
      <c r="AP33" s="73"/>
      <c r="AQ33" s="73"/>
    </row>
    <row r="34" spans="5:43" s="68" customFormat="1" ht="19.5" customHeight="1" x14ac:dyDescent="0.25">
      <c r="E34" s="118"/>
      <c r="F34" s="118"/>
      <c r="H34" s="73"/>
      <c r="J34" s="118"/>
      <c r="K34" s="118"/>
      <c r="S34" s="123"/>
      <c r="T34" s="123"/>
      <c r="AM34" s="73"/>
      <c r="AN34" s="73"/>
      <c r="AO34" s="73"/>
      <c r="AP34" s="73"/>
      <c r="AQ34" s="73"/>
    </row>
    <row r="35" spans="5:43" s="68" customFormat="1" ht="19.5" customHeight="1" x14ac:dyDescent="0.25">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L10" sqref="L10"/>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2" width="10.85546875" customWidth="1"/>
    <col min="13" max="16384" width="10.85546875" hidden="1"/>
  </cols>
  <sheetData>
    <row r="1" spans="1:11" s="3" customFormat="1" ht="37.5" customHeight="1" x14ac:dyDescent="0.2">
      <c r="A1" s="464"/>
      <c r="B1" s="503" t="str">
        <f>+'2 CONTEXTO E IDENTIFICACIÓN'!A1</f>
        <v>MAPA DE RIESGOS</v>
      </c>
      <c r="C1" s="475"/>
      <c r="D1" s="476"/>
      <c r="F1" s="218" t="str">
        <f>+'2 CONTEXTO E IDENTIFICACIÓN'!$I$4</f>
        <v>Elaboración o Actualización:</v>
      </c>
      <c r="G1" s="232">
        <f>'2 CONTEXTO E IDENTIFICACIÓN'!J4</f>
        <v>0</v>
      </c>
      <c r="H1" s="13"/>
      <c r="I1" s="13"/>
    </row>
    <row r="2" spans="1:11" s="3" customFormat="1" ht="37.5" customHeight="1" x14ac:dyDescent="0.2">
      <c r="A2" s="464"/>
      <c r="B2" s="504"/>
      <c r="C2" s="39" t="str">
        <f>+'2 CONTEXTO E IDENTIFICACIÓN'!A2</f>
        <v>VERSIÓN:</v>
      </c>
      <c r="D2" s="39">
        <f>'2 CONTEXTO E IDENTIFICACIÓN'!B2</f>
        <v>0</v>
      </c>
      <c r="F2" s="221" t="str">
        <f>+'2 CONTEXTO E IDENTIFICACIÓN'!$E$5</f>
        <v xml:space="preserve">Vigencia: </v>
      </c>
      <c r="G2" s="219">
        <f>'2 CONTEXTO E IDENTIFICACIÓN'!G5</f>
        <v>0</v>
      </c>
      <c r="H2" s="220" t="s">
        <v>100</v>
      </c>
      <c r="I2" s="217">
        <f>'2 CONTEXTO E IDENTIFICACIÓN'!J5</f>
        <v>0</v>
      </c>
    </row>
    <row r="3" spans="1:11" s="3" customFormat="1" ht="8.25" customHeight="1" x14ac:dyDescent="0.2">
      <c r="A3" s="15"/>
      <c r="B3" s="15"/>
      <c r="C3" s="15"/>
      <c r="D3" s="41"/>
      <c r="F3" s="45"/>
    </row>
    <row r="4" spans="1:11" s="4" customFormat="1" ht="14.45" customHeight="1" x14ac:dyDescent="0.25">
      <c r="A4" s="20" t="s">
        <v>95</v>
      </c>
      <c r="B4" s="465">
        <f>'2 CONTEXTO E IDENTIFICACIÓN'!B4</f>
        <v>0</v>
      </c>
      <c r="C4" s="465"/>
      <c r="D4" s="465"/>
      <c r="E4" s="125"/>
      <c r="F4" s="126"/>
    </row>
    <row r="5" spans="1:11" ht="15.75" thickBot="1" x14ac:dyDescent="0.3">
      <c r="A5" s="20" t="s">
        <v>96</v>
      </c>
      <c r="B5" s="465">
        <f>'2 CONTEXTO E IDENTIFICACIÓN'!F4</f>
        <v>0</v>
      </c>
      <c r="C5" s="466"/>
      <c r="D5" s="466"/>
    </row>
    <row r="6" spans="1:11" ht="15.75" thickBot="1" x14ac:dyDescent="0.3">
      <c r="A6" s="554" t="s">
        <v>365</v>
      </c>
      <c r="B6" s="555"/>
      <c r="C6" s="555"/>
      <c r="D6" s="555"/>
      <c r="E6" s="555"/>
      <c r="F6" s="555"/>
      <c r="G6" s="555"/>
      <c r="H6" s="555"/>
      <c r="I6" s="555"/>
      <c r="J6" s="555"/>
      <c r="K6" s="556"/>
    </row>
    <row r="7" spans="1:11" ht="6" customHeight="1" thickBot="1" x14ac:dyDescent="0.3">
      <c r="A7" s="554"/>
      <c r="B7" s="555"/>
      <c r="C7" s="555"/>
      <c r="D7" s="555"/>
      <c r="E7" s="555"/>
      <c r="F7" s="555"/>
      <c r="G7" s="555"/>
      <c r="H7" s="555"/>
      <c r="I7" s="555"/>
      <c r="J7" s="555"/>
      <c r="K7" s="556"/>
    </row>
    <row r="8" spans="1:11" ht="34.5" customHeight="1" x14ac:dyDescent="0.25">
      <c r="A8" s="557" t="s">
        <v>366</v>
      </c>
      <c r="B8" s="558"/>
      <c r="C8" s="558"/>
      <c r="D8" s="558"/>
      <c r="E8" s="558"/>
      <c r="F8" s="558"/>
      <c r="G8" s="558"/>
      <c r="H8" s="558"/>
      <c r="I8" s="558"/>
      <c r="J8" s="558"/>
      <c r="K8" s="559"/>
    </row>
    <row r="9" spans="1:11" ht="18.75" customHeight="1" x14ac:dyDescent="0.25">
      <c r="A9" s="563" t="s">
        <v>367</v>
      </c>
      <c r="B9" s="564"/>
      <c r="C9" s="564"/>
      <c r="D9" s="564"/>
      <c r="E9" s="564"/>
      <c r="F9" s="564"/>
      <c r="G9" s="564"/>
      <c r="H9" s="564"/>
      <c r="I9" s="564"/>
      <c r="J9" s="564"/>
      <c r="K9" s="565"/>
    </row>
    <row r="10" spans="1:11" ht="34.5" customHeight="1" x14ac:dyDescent="0.25">
      <c r="A10" s="560" t="s">
        <v>368</v>
      </c>
      <c r="B10" s="561"/>
      <c r="C10" s="561"/>
      <c r="D10" s="561"/>
      <c r="E10" s="561"/>
      <c r="F10" s="561"/>
      <c r="G10" s="561"/>
      <c r="H10" s="561"/>
      <c r="I10" s="561"/>
      <c r="J10" s="561"/>
      <c r="K10" s="562"/>
    </row>
    <row r="11" spans="1:11" ht="50.25" customHeight="1" thickBot="1" x14ac:dyDescent="0.3">
      <c r="A11" s="569" t="s">
        <v>369</v>
      </c>
      <c r="B11" s="570"/>
      <c r="C11" s="570"/>
      <c r="D11" s="570"/>
      <c r="E11" s="570"/>
      <c r="F11" s="570"/>
      <c r="G11" s="570"/>
      <c r="H11" s="570"/>
      <c r="I11" s="570"/>
      <c r="J11" s="570"/>
      <c r="K11" s="571"/>
    </row>
    <row r="12" spans="1:11" x14ac:dyDescent="0.25">
      <c r="A12" s="127"/>
      <c r="B12" s="127"/>
      <c r="C12" s="127"/>
      <c r="D12" s="127"/>
      <c r="E12" s="127"/>
      <c r="F12" s="127"/>
      <c r="G12" s="127"/>
      <c r="H12" s="127"/>
      <c r="I12" s="127"/>
      <c r="J12" s="127"/>
      <c r="K12" s="127"/>
    </row>
    <row r="13" spans="1:11" s="129" customFormat="1" ht="38.25" x14ac:dyDescent="0.25">
      <c r="A13" s="128"/>
      <c r="B13" s="566" t="s">
        <v>370</v>
      </c>
      <c r="C13" s="567"/>
      <c r="D13" s="568" t="s">
        <v>371</v>
      </c>
      <c r="E13" s="568"/>
      <c r="G13" s="76" t="s">
        <v>319</v>
      </c>
    </row>
    <row r="14" spans="1:11" x14ac:dyDescent="0.25">
      <c r="A14" s="130" t="s">
        <v>372</v>
      </c>
      <c r="B14" s="131">
        <f>+COUNTIF('8 MAPA RIESGOS'!$G$9:$G$28,G14)</f>
        <v>0</v>
      </c>
      <c r="C14" s="132">
        <f>+B14/$B$18</f>
        <v>0</v>
      </c>
      <c r="D14" s="131">
        <f>+COUNTIF('8 MAPA RIESGOS'!$L$9:$L$28,G14)</f>
        <v>0</v>
      </c>
      <c r="E14" s="132">
        <f>+D14/$D$18</f>
        <v>0</v>
      </c>
      <c r="G14" s="106" t="s">
        <v>317</v>
      </c>
    </row>
    <row r="15" spans="1:11" x14ac:dyDescent="0.25">
      <c r="A15" s="130" t="s">
        <v>373</v>
      </c>
      <c r="B15" s="131">
        <f>+COUNTIF('8 MAPA RIESGOS'!$G$9:$G$28,G15)</f>
        <v>0</v>
      </c>
      <c r="C15" s="132">
        <f t="shared" ref="C15:C18" si="0">+B15/$B$18</f>
        <v>0</v>
      </c>
      <c r="D15" s="131">
        <f>+COUNTIF('8 MAPA RIESGOS'!$L$9:$L$28,G15)</f>
        <v>0</v>
      </c>
      <c r="E15" s="132">
        <f t="shared" ref="E15:E18" si="1">+D15/$D$18</f>
        <v>0</v>
      </c>
      <c r="G15" s="89" t="s">
        <v>316</v>
      </c>
    </row>
    <row r="16" spans="1:11" x14ac:dyDescent="0.25">
      <c r="A16" s="130" t="s">
        <v>374</v>
      </c>
      <c r="B16" s="131">
        <f>+COUNTIF('8 MAPA RIESGOS'!$G$9:$G$28,G16)</f>
        <v>5</v>
      </c>
      <c r="C16" s="132">
        <f t="shared" si="0"/>
        <v>1</v>
      </c>
      <c r="D16" s="131">
        <f>+COUNTIF('8 MAPA RIESGOS'!$L$9:$L$28,G16)</f>
        <v>5</v>
      </c>
      <c r="E16" s="132">
        <f t="shared" si="1"/>
        <v>1</v>
      </c>
      <c r="G16" s="93" t="s">
        <v>298</v>
      </c>
    </row>
    <row r="17" spans="1:7" x14ac:dyDescent="0.25">
      <c r="A17" s="130" t="s">
        <v>375</v>
      </c>
      <c r="B17" s="131">
        <f>+COUNTIF('8 MAPA RIESGOS'!$G$9:$G$28,G17)</f>
        <v>0</v>
      </c>
      <c r="C17" s="132">
        <f t="shared" si="0"/>
        <v>0</v>
      </c>
      <c r="D17" s="131">
        <f>+COUNTIF('8 MAPA RIESGOS'!$L$9:$L$28,G17)</f>
        <v>0</v>
      </c>
      <c r="E17" s="132">
        <f t="shared" si="1"/>
        <v>0</v>
      </c>
      <c r="G17" s="97" t="s">
        <v>318</v>
      </c>
    </row>
    <row r="18" spans="1:7" x14ac:dyDescent="0.25">
      <c r="A18" s="130" t="s">
        <v>376</v>
      </c>
      <c r="B18" s="131">
        <f>+SUM(B14:B17)</f>
        <v>5</v>
      </c>
      <c r="C18" s="132">
        <f t="shared" si="0"/>
        <v>1</v>
      </c>
      <c r="D18" s="131">
        <f>+SUM(D14:D17)</f>
        <v>5</v>
      </c>
      <c r="E18" s="132">
        <f t="shared" si="1"/>
        <v>1</v>
      </c>
    </row>
    <row r="19" spans="1:7" x14ac:dyDescent="0.25"/>
    <row r="20" spans="1:7" s="133" customFormat="1" x14ac:dyDescent="0.25">
      <c r="B20" s="134" t="s">
        <v>370</v>
      </c>
      <c r="D20" s="134" t="s">
        <v>371</v>
      </c>
    </row>
    <row r="21" spans="1:7" s="133" customFormat="1" ht="41.45" customHeight="1" x14ac:dyDescent="0.25">
      <c r="B21" s="135" t="str">
        <f>+IF((B14/B18)&gt;=0.2,G14,+IF(((B14/B18)+(B15/B18))&gt;=0.3,G15,+IF(((B14/B18)+(B15/B18)+(B16/B18))&gt;=0.4,G16,+IF((B14/B18)+(B15/B18)+(B16/B18)+(B17/B18)&gt;=0.5,G17,""))))</f>
        <v>Moderado</v>
      </c>
      <c r="D21" s="135" t="str">
        <f>+IF((D14/D18)&gt;=0.2,G14,+IF(((D14/D18)+(D15/D18))&gt;=0.3,G15,+IF(((D14/D18)+(D15/D18)+(D16/D18))&gt;=0.4,G16,+IF((D14/D18)+(D15/D18)+(D16/D18)+(D17/D18)&gt;=0.5,G17,""))))</f>
        <v>Moderado</v>
      </c>
    </row>
    <row r="22" spans="1:7" x14ac:dyDescent="0.25"/>
    <row r="23" spans="1:7" x14ac:dyDescent="0.25"/>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B4" sqref="B4:D4"/>
    </sheetView>
  </sheetViews>
  <sheetFormatPr baseColWidth="10" defaultColWidth="11.42578125" defaultRowHeight="15" x14ac:dyDescent="0.25"/>
  <cols>
    <col min="1" max="1" width="17.42578125" style="291" customWidth="1"/>
    <col min="2" max="2" width="23.42578125" customWidth="1"/>
    <col min="3" max="3" width="12.42578125" customWidth="1"/>
    <col min="4" max="4" width="16.425781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ht="36.75" customHeight="1" x14ac:dyDescent="0.25">
      <c r="A1" s="572"/>
      <c r="B1" s="464" t="str">
        <f>+'2 CONTEXTO E IDENTIFICACIÓN'!A1</f>
        <v>MAPA DE RIESGOS</v>
      </c>
      <c r="C1" s="475"/>
      <c r="D1" s="476"/>
    </row>
    <row r="2" spans="1:4" ht="36.75" customHeight="1" x14ac:dyDescent="0.25">
      <c r="A2" s="572"/>
      <c r="B2" s="464"/>
      <c r="C2" s="39" t="str">
        <f>+'2 CONTEXTO E IDENTIFICACIÓN'!A2</f>
        <v>VERSIÓN:</v>
      </c>
      <c r="D2" s="146">
        <f>'2 CONTEXTO E IDENTIFICACIÓN'!B2</f>
        <v>0</v>
      </c>
    </row>
    <row r="3" spans="1:4" s="212" customFormat="1" x14ac:dyDescent="0.25">
      <c r="A3" s="287" t="s">
        <v>377</v>
      </c>
      <c r="B3" s="574" t="s">
        <v>378</v>
      </c>
      <c r="C3" s="574"/>
      <c r="D3" s="574"/>
    </row>
    <row r="4" spans="1:4" ht="84" customHeight="1" x14ac:dyDescent="0.25">
      <c r="A4" s="288">
        <v>46003</v>
      </c>
      <c r="B4" s="575" t="s">
        <v>380</v>
      </c>
      <c r="C4" s="575"/>
      <c r="D4" s="575"/>
    </row>
    <row r="5" spans="1:4" s="213" customFormat="1" x14ac:dyDescent="0.25">
      <c r="A5" s="288"/>
      <c r="B5" s="575"/>
      <c r="C5" s="575"/>
      <c r="D5" s="575"/>
    </row>
    <row r="6" spans="1:4" x14ac:dyDescent="0.25">
      <c r="A6" s="289"/>
      <c r="B6" s="573"/>
      <c r="C6" s="573"/>
      <c r="D6" s="573"/>
    </row>
    <row r="7" spans="1:4" x14ac:dyDescent="0.25">
      <c r="A7" s="289"/>
      <c r="B7" s="573"/>
      <c r="C7" s="573"/>
      <c r="D7" s="573"/>
    </row>
    <row r="8" spans="1:4" x14ac:dyDescent="0.25">
      <c r="A8" s="289"/>
      <c r="B8" s="576"/>
      <c r="C8" s="576"/>
      <c r="D8" s="576"/>
    </row>
    <row r="9" spans="1:4" x14ac:dyDescent="0.25">
      <c r="A9" s="289"/>
      <c r="B9" s="573"/>
      <c r="C9" s="573"/>
      <c r="D9" s="573"/>
    </row>
    <row r="10" spans="1:4" x14ac:dyDescent="0.25">
      <c r="A10" s="290"/>
      <c r="B10" s="214"/>
      <c r="C10" s="214"/>
      <c r="D10" s="214"/>
    </row>
    <row r="11" spans="1:4" x14ac:dyDescent="0.25">
      <c r="A11" s="290"/>
      <c r="B11" s="214"/>
      <c r="C11" s="214"/>
      <c r="D11" s="214"/>
    </row>
    <row r="12" spans="1:4" x14ac:dyDescent="0.25">
      <c r="A12" s="290"/>
      <c r="B12" s="214"/>
      <c r="C12" s="214"/>
      <c r="D12" s="214"/>
    </row>
    <row r="13" spans="1:4" x14ac:dyDescent="0.25">
      <c r="A13" s="290"/>
      <c r="B13" s="214"/>
      <c r="C13" s="214"/>
      <c r="D13" s="214"/>
    </row>
    <row r="14" spans="1:4" x14ac:dyDescent="0.25">
      <c r="A14" s="290"/>
      <c r="B14" s="214"/>
      <c r="C14" s="214"/>
      <c r="D14" s="214"/>
    </row>
    <row r="15" spans="1:4" x14ac:dyDescent="0.25">
      <c r="A15" s="290"/>
      <c r="B15" s="214"/>
      <c r="C15" s="214"/>
      <c r="D15" s="214"/>
    </row>
    <row r="16" spans="1:4" x14ac:dyDescent="0.25">
      <c r="A16" s="290"/>
      <c r="B16" s="214"/>
      <c r="C16" s="214"/>
      <c r="D16" s="214"/>
    </row>
    <row r="17" spans="1:4" x14ac:dyDescent="0.25">
      <c r="A17" s="290"/>
      <c r="B17" s="214"/>
      <c r="C17" s="214"/>
      <c r="D17" s="214"/>
    </row>
    <row r="18" spans="1:4" x14ac:dyDescent="0.25">
      <c r="A18" s="290"/>
      <c r="B18" s="214"/>
      <c r="C18" s="214"/>
      <c r="D18" s="214"/>
    </row>
    <row r="19" spans="1:4" x14ac:dyDescent="0.25">
      <c r="A19" s="290"/>
      <c r="B19" s="214"/>
      <c r="C19" s="214"/>
      <c r="D19" s="214"/>
    </row>
    <row r="20" spans="1:4" x14ac:dyDescent="0.25">
      <c r="A20" s="290"/>
      <c r="B20" s="214"/>
      <c r="C20" s="214"/>
      <c r="D20" s="214"/>
    </row>
    <row r="21" spans="1:4" x14ac:dyDescent="0.25">
      <c r="A21" s="290"/>
      <c r="B21" s="214"/>
      <c r="C21" s="214"/>
      <c r="D21" s="214"/>
    </row>
    <row r="22" spans="1:4" x14ac:dyDescent="0.25">
      <c r="A22" s="290"/>
      <c r="B22" s="214"/>
      <c r="C22" s="214"/>
      <c r="D22" s="214"/>
    </row>
    <row r="23" spans="1:4" x14ac:dyDescent="0.25">
      <c r="A23" s="290"/>
      <c r="B23" s="214"/>
      <c r="C23" s="214"/>
      <c r="D23" s="214"/>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Milena Andrade Murillo</cp:lastModifiedBy>
  <cp:revision/>
  <dcterms:created xsi:type="dcterms:W3CDTF">2006-09-16T00:00:00Z</dcterms:created>
  <dcterms:modified xsi:type="dcterms:W3CDTF">2026-08-10T18:43:22Z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