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codeName="ThisWorkbook" defaultThemeVersion="124226"/>
  <mc:AlternateContent xmlns:mc="http://schemas.openxmlformats.org/markup-compatibility/2006">
    <mc:Choice Requires="x15">
      <x15ac:absPath xmlns:x15ac="http://schemas.microsoft.com/office/spreadsheetml/2010/11/ac" url="C:\Users\jorozco\Downloads\Riesgos\"/>
    </mc:Choice>
  </mc:AlternateContent>
  <xr:revisionPtr revIDLastSave="0" documentId="13_ncr:1_{5C0E5E1D-0CF3-4283-998C-D294F3B3D53C}" xr6:coauthVersionLast="47" xr6:coauthVersionMax="47" xr10:uidLastSave="{00000000-0000-0000-0000-000000000000}"/>
  <bookViews>
    <workbookView xWindow="-120" yWindow="-120" windowWidth="29040" windowHeight="15720" tabRatio="821" firstSheet="4" activeTab="10" xr2:uid="{00000000-000D-0000-FFFF-FFFF00000000}"/>
  </bookViews>
  <sheets>
    <sheet name="1 INSTRUCTIVO" sheetId="38" r:id="rId1"/>
    <sheet name="11 FORMULAS" sheetId="34" state="hidden" r:id="rId2"/>
    <sheet name="2 CONTEXTO E IDENTIFICACIÓN" sheetId="30"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 r:id="rId14"/>
  </externalReferences>
  <definedNames>
    <definedName name="_xlnm._FilterDatabase" localSheetId="0" hidden="1">'1 INSTRUCTIVO'!$B$85:$H$119</definedName>
    <definedName name="_xlnm._FilterDatabase" localSheetId="2"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2">'[1]LISTAS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2">'[1]LISTAS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2">'[1]LISTAS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2">'[1]LISTAS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2">'[1]LISTAS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2">'2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18" i="35" l="1"/>
  <c r="A13" i="35"/>
  <c r="A14" i="35"/>
  <c r="A15" i="35"/>
  <c r="A16" i="35"/>
  <c r="A17" i="35"/>
  <c r="A11" i="35"/>
  <c r="A12" i="35"/>
  <c r="A10" i="35"/>
  <c r="B62" i="9"/>
  <c r="I9" i="9" l="1"/>
  <c r="J10" i="30"/>
  <c r="B10" i="35" s="1"/>
  <c r="J11" i="30"/>
  <c r="B11" i="35" s="1"/>
  <c r="J12" i="30"/>
  <c r="B12" i="35" s="1"/>
  <c r="J9" i="30"/>
  <c r="J13" i="30"/>
  <c r="J14" i="30"/>
  <c r="J15" i="30"/>
  <c r="J16" i="30"/>
  <c r="J17" i="30"/>
  <c r="J18" i="30"/>
  <c r="J19" i="30"/>
  <c r="J20" i="30"/>
  <c r="J21" i="30"/>
  <c r="B56" i="9" s="1"/>
  <c r="J22" i="30"/>
  <c r="J23" i="30"/>
  <c r="J24" i="30"/>
  <c r="J25" i="30"/>
  <c r="B15" i="36" l="1"/>
  <c r="B16" i="36"/>
  <c r="B17" i="36"/>
  <c r="B18" i="36"/>
  <c r="A16" i="36"/>
  <c r="A17" i="36"/>
  <c r="A18" i="36"/>
  <c r="A19" i="36"/>
  <c r="A20" i="36"/>
  <c r="A21" i="36"/>
  <c r="A22" i="36"/>
  <c r="A23" i="36"/>
  <c r="A24" i="36"/>
  <c r="A25" i="36"/>
  <c r="A26" i="36"/>
  <c r="A27" i="36"/>
  <c r="A28" i="36"/>
  <c r="A29" i="36"/>
  <c r="A30" i="36"/>
  <c r="A11" i="36"/>
  <c r="A13" i="36"/>
  <c r="A14" i="36"/>
  <c r="A15" i="36"/>
  <c r="B32" i="9"/>
  <c r="A32" i="9"/>
  <c r="A26" i="9"/>
  <c r="A20" i="9"/>
  <c r="B10" i="31"/>
  <c r="B13" i="31"/>
  <c r="B14" i="31"/>
  <c r="B15" i="31"/>
  <c r="B16" i="31"/>
  <c r="B17" i="31"/>
  <c r="B18" i="31"/>
  <c r="B19" i="31"/>
  <c r="B20" i="31"/>
  <c r="B21" i="31"/>
  <c r="B22" i="31"/>
  <c r="B23" i="31"/>
  <c r="B24" i="31"/>
  <c r="B25" i="31"/>
  <c r="B26" i="31"/>
  <c r="B27" i="31"/>
  <c r="B28" i="31"/>
  <c r="A10" i="31"/>
  <c r="A11" i="31"/>
  <c r="A12" i="31"/>
  <c r="A13" i="31"/>
  <c r="A14" i="31"/>
  <c r="A15" i="31"/>
  <c r="A16" i="31"/>
  <c r="A17" i="31"/>
  <c r="A18" i="31"/>
  <c r="A19" i="31"/>
  <c r="A20" i="31"/>
  <c r="A21" i="31"/>
  <c r="A22" i="31"/>
  <c r="A23" i="31"/>
  <c r="A24" i="31"/>
  <c r="A25" i="31"/>
  <c r="A26" i="31"/>
  <c r="A27" i="31"/>
  <c r="A28" i="31"/>
  <c r="B13" i="15"/>
  <c r="B14" i="15"/>
  <c r="B15" i="15"/>
  <c r="B16" i="15"/>
  <c r="B17" i="15"/>
  <c r="B18" i="15"/>
  <c r="B19" i="15"/>
  <c r="B20" i="15"/>
  <c r="B21" i="15"/>
  <c r="B22" i="15"/>
  <c r="B23" i="15"/>
  <c r="B24" i="15"/>
  <c r="B25" i="15"/>
  <c r="B26" i="15"/>
  <c r="B27" i="15"/>
  <c r="B28" i="15"/>
  <c r="A12" i="15"/>
  <c r="A13" i="15"/>
  <c r="A14" i="15"/>
  <c r="A15" i="15"/>
  <c r="A16" i="15"/>
  <c r="A17" i="15"/>
  <c r="A18" i="15"/>
  <c r="A19" i="15"/>
  <c r="A20" i="15"/>
  <c r="A21" i="15"/>
  <c r="A22" i="15"/>
  <c r="A23" i="15"/>
  <c r="A24" i="15"/>
  <c r="A25" i="15"/>
  <c r="A26" i="15"/>
  <c r="A27" i="15"/>
  <c r="A28" i="15"/>
  <c r="A10" i="15"/>
  <c r="A11" i="15"/>
  <c r="B11" i="36"/>
  <c r="B14" i="9"/>
  <c r="A14" i="9"/>
  <c r="E9" i="30"/>
  <c r="B10" i="15"/>
  <c r="B20" i="9"/>
  <c r="B12" i="31"/>
  <c r="D9" i="30"/>
  <c r="E10" i="30"/>
  <c r="E11" i="30"/>
  <c r="E12" i="30"/>
  <c r="E13" i="30"/>
  <c r="E14" i="30"/>
  <c r="E15" i="30"/>
  <c r="E16" i="30"/>
  <c r="E17" i="30"/>
  <c r="E18" i="30"/>
  <c r="E19" i="30"/>
  <c r="E20" i="30"/>
  <c r="E21" i="30"/>
  <c r="E22" i="30"/>
  <c r="E23" i="30"/>
  <c r="E24" i="30"/>
  <c r="E25"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N9" i="9"/>
  <c r="N10" i="9"/>
  <c r="N11" i="9"/>
  <c r="N12" i="9"/>
  <c r="N13" i="9"/>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2" i="9"/>
  <c r="L13"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S9" i="9" s="1"/>
  <c r="K10" i="9"/>
  <c r="K11" i="9"/>
  <c r="K12" i="9"/>
  <c r="K13" i="9"/>
  <c r="K14" i="9"/>
  <c r="K15" i="9"/>
  <c r="S15" i="9" s="1"/>
  <c r="K16" i="9"/>
  <c r="K17" i="9"/>
  <c r="K18" i="9"/>
  <c r="S18" i="9" s="1"/>
  <c r="K19" i="9"/>
  <c r="S19" i="9" s="1"/>
  <c r="K20" i="9"/>
  <c r="S20" i="9" s="1"/>
  <c r="K21" i="9"/>
  <c r="K22" i="9"/>
  <c r="K23" i="9"/>
  <c r="K24" i="9"/>
  <c r="S24" i="9" s="1"/>
  <c r="K25" i="9"/>
  <c r="S25" i="9" s="1"/>
  <c r="K26" i="9"/>
  <c r="K27" i="9"/>
  <c r="K28" i="9"/>
  <c r="S28" i="9" s="1"/>
  <c r="K29" i="9"/>
  <c r="K30" i="9"/>
  <c r="S30" i="9" s="1"/>
  <c r="K31" i="9"/>
  <c r="K32" i="9"/>
  <c r="S32" i="9" s="1"/>
  <c r="K33" i="9"/>
  <c r="S33" i="9" s="1"/>
  <c r="K34" i="9"/>
  <c r="S34" i="9" s="1"/>
  <c r="K35" i="9"/>
  <c r="S35" i="9" s="1"/>
  <c r="K36" i="9"/>
  <c r="S36" i="9" s="1"/>
  <c r="K37" i="9"/>
  <c r="S37" i="9" s="1"/>
  <c r="K38" i="9"/>
  <c r="S38" i="9" s="1"/>
  <c r="K39" i="9"/>
  <c r="S39" i="9" s="1"/>
  <c r="K40" i="9"/>
  <c r="K41" i="9"/>
  <c r="S41" i="9" s="1"/>
  <c r="K42" i="9"/>
  <c r="K43" i="9"/>
  <c r="S43" i="9" s="1"/>
  <c r="K44" i="9"/>
  <c r="S44" i="9" s="1"/>
  <c r="K45" i="9"/>
  <c r="K46" i="9"/>
  <c r="S46" i="9" s="1"/>
  <c r="K47" i="9"/>
  <c r="K48" i="9"/>
  <c r="S48" i="9" s="1"/>
  <c r="K49" i="9"/>
  <c r="S49" i="9" s="1"/>
  <c r="K50" i="9"/>
  <c r="S50" i="9" s="1"/>
  <c r="K51" i="9"/>
  <c r="S51" i="9" s="1"/>
  <c r="K52" i="9"/>
  <c r="K53" i="9"/>
  <c r="S53" i="9" s="1"/>
  <c r="K54" i="9"/>
  <c r="S54" i="9" s="1"/>
  <c r="K55" i="9"/>
  <c r="S55" i="9" s="1"/>
  <c r="K56" i="9"/>
  <c r="K57" i="9"/>
  <c r="S57" i="9" s="1"/>
  <c r="K58" i="9"/>
  <c r="S58" i="9" s="1"/>
  <c r="K59" i="9"/>
  <c r="S59" i="9" s="1"/>
  <c r="K60" i="9"/>
  <c r="S60" i="9" s="1"/>
  <c r="K61" i="9"/>
  <c r="S61" i="9" s="1"/>
  <c r="K62" i="9"/>
  <c r="S62" i="9" s="1"/>
  <c r="K63" i="9"/>
  <c r="S63" i="9" s="1"/>
  <c r="K64" i="9"/>
  <c r="S64" i="9" s="1"/>
  <c r="K65" i="9"/>
  <c r="S65" i="9" s="1"/>
  <c r="K66" i="9"/>
  <c r="S66" i="9" s="1"/>
  <c r="K67" i="9"/>
  <c r="S67" i="9" s="1"/>
  <c r="K68" i="9"/>
  <c r="S68" i="9" s="1"/>
  <c r="K69" i="9"/>
  <c r="S69" i="9" s="1"/>
  <c r="K70" i="9"/>
  <c r="S70" i="9" s="1"/>
  <c r="K71" i="9"/>
  <c r="S71" i="9" s="1"/>
  <c r="K72" i="9"/>
  <c r="K73" i="9"/>
  <c r="S73" i="9" s="1"/>
  <c r="K74" i="9"/>
  <c r="K75" i="9"/>
  <c r="K76" i="9"/>
  <c r="S76" i="9" s="1"/>
  <c r="K77" i="9"/>
  <c r="S77" i="9" s="1"/>
  <c r="K78" i="9"/>
  <c r="S78" i="9" s="1"/>
  <c r="K79" i="9"/>
  <c r="S79" i="9" s="1"/>
  <c r="K80" i="9"/>
  <c r="S80" i="9" s="1"/>
  <c r="K81" i="9"/>
  <c r="S81" i="9" s="1"/>
  <c r="K82" i="9"/>
  <c r="S82" i="9" s="1"/>
  <c r="K83" i="9"/>
  <c r="S83" i="9" s="1"/>
  <c r="K84" i="9"/>
  <c r="S84" i="9" s="1"/>
  <c r="K85" i="9"/>
  <c r="S85" i="9" s="1"/>
  <c r="K86" i="9"/>
  <c r="S86" i="9" s="1"/>
  <c r="K87" i="9"/>
  <c r="S87" i="9" s="1"/>
  <c r="K88" i="9"/>
  <c r="K89" i="9"/>
  <c r="S89" i="9" s="1"/>
  <c r="K90" i="9"/>
  <c r="S90" i="9" s="1"/>
  <c r="K91" i="9"/>
  <c r="S91" i="9" s="1"/>
  <c r="K92" i="9"/>
  <c r="S92" i="9" s="1"/>
  <c r="K93" i="9"/>
  <c r="S93" i="9" s="1"/>
  <c r="K94" i="9"/>
  <c r="S94" i="9" s="1"/>
  <c r="K95" i="9"/>
  <c r="S95" i="9" s="1"/>
  <c r="K96" i="9"/>
  <c r="S96" i="9" s="1"/>
  <c r="K97" i="9"/>
  <c r="S97" i="9" s="1"/>
  <c r="K98" i="9"/>
  <c r="S98" i="9" s="1"/>
  <c r="K99" i="9"/>
  <c r="S99" i="9" s="1"/>
  <c r="K100" i="9"/>
  <c r="S100" i="9" s="1"/>
  <c r="K101" i="9"/>
  <c r="K102" i="9"/>
  <c r="S102" i="9" s="1"/>
  <c r="K103" i="9"/>
  <c r="S103" i="9" s="1"/>
  <c r="K104" i="9"/>
  <c r="S104" i="9" s="1"/>
  <c r="K105" i="9"/>
  <c r="S105" i="9" s="1"/>
  <c r="K106" i="9"/>
  <c r="K107" i="9"/>
  <c r="S107" i="9" s="1"/>
  <c r="K108" i="9"/>
  <c r="S108" i="9" s="1"/>
  <c r="K109" i="9"/>
  <c r="S109" i="9" s="1"/>
  <c r="K110" i="9"/>
  <c r="S110" i="9" s="1"/>
  <c r="K111" i="9"/>
  <c r="S111" i="9" s="1"/>
  <c r="K112" i="9"/>
  <c r="S112" i="9" s="1"/>
  <c r="K113" i="9"/>
  <c r="S113" i="9" s="1"/>
  <c r="K114" i="9"/>
  <c r="S114" i="9" s="1"/>
  <c r="K115" i="9"/>
  <c r="S115" i="9" s="1"/>
  <c r="K116" i="9"/>
  <c r="S116" i="9" s="1"/>
  <c r="K117" i="9"/>
  <c r="S117" i="9" s="1"/>
  <c r="K118" i="9"/>
  <c r="S118" i="9" s="1"/>
  <c r="K119" i="9"/>
  <c r="K120" i="9"/>
  <c r="S120" i="9" s="1"/>
  <c r="K121" i="9"/>
  <c r="S121" i="9" s="1"/>
  <c r="K122" i="9"/>
  <c r="S122" i="9" s="1"/>
  <c r="K123" i="9"/>
  <c r="S123" i="9" s="1"/>
  <c r="K124" i="9"/>
  <c r="S124" i="9" s="1"/>
  <c r="K125" i="9"/>
  <c r="S125" i="9" s="1"/>
  <c r="K126" i="9"/>
  <c r="S126" i="9" s="1"/>
  <c r="K127" i="9"/>
  <c r="S127" i="9" s="1"/>
  <c r="I10" i="9"/>
  <c r="I11" i="9"/>
  <c r="I12" i="9"/>
  <c r="I13" i="9"/>
  <c r="I14" i="9"/>
  <c r="I15" i="9"/>
  <c r="I16" i="9"/>
  <c r="I17" i="9"/>
  <c r="I18" i="9"/>
  <c r="I19" i="9"/>
  <c r="I21" i="9"/>
  <c r="I22" i="9"/>
  <c r="I23" i="9"/>
  <c r="I24" i="9"/>
  <c r="I25"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01" i="9" l="1"/>
  <c r="S56" i="9"/>
  <c r="S119" i="9"/>
  <c r="S74" i="9"/>
  <c r="S72" i="9"/>
  <c r="S52" i="9"/>
  <c r="S106" i="9"/>
  <c r="S45" i="9"/>
  <c r="S47" i="9"/>
  <c r="S42" i="9"/>
  <c r="S40" i="9"/>
  <c r="S31" i="9"/>
  <c r="S29" i="9"/>
  <c r="S27" i="9"/>
  <c r="S21" i="9"/>
  <c r="S23" i="9"/>
  <c r="S22" i="9"/>
  <c r="S17" i="9"/>
  <c r="S16" i="9"/>
  <c r="S13" i="9"/>
  <c r="S12" i="9"/>
  <c r="S11" i="9"/>
  <c r="S10" i="9"/>
  <c r="S26" i="9"/>
  <c r="B12" i="15"/>
  <c r="B26" i="9"/>
  <c r="B14" i="36"/>
  <c r="B11" i="31"/>
  <c r="B11" i="15"/>
  <c r="B13" i="36"/>
  <c r="S75" i="9"/>
  <c r="S14" i="9"/>
  <c r="S8" i="9"/>
  <c r="U121"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F2" i="33"/>
  <c r="F1" i="33"/>
  <c r="J2" i="37"/>
  <c r="J1" i="37"/>
  <c r="F2" i="36"/>
  <c r="F1" i="36"/>
  <c r="G2" i="35"/>
  <c r="G1" i="35"/>
  <c r="G2" i="9"/>
  <c r="G1" i="9"/>
  <c r="A122" i="9"/>
  <c r="A116" i="9"/>
  <c r="A110" i="9"/>
  <c r="A104" i="9"/>
  <c r="A98" i="9"/>
  <c r="A92" i="9"/>
  <c r="A86" i="9"/>
  <c r="A80" i="9"/>
  <c r="A74" i="9"/>
  <c r="A68" i="9"/>
  <c r="A44" i="9"/>
  <c r="A38" i="9"/>
  <c r="I8" i="9"/>
  <c r="I3" i="31"/>
  <c r="I2" i="31"/>
  <c r="G4" i="15"/>
  <c r="G2" i="15"/>
  <c r="D10" i="30"/>
  <c r="D11" i="30"/>
  <c r="D12" i="30"/>
  <c r="D13" i="30"/>
  <c r="D14" i="30"/>
  <c r="D15" i="30"/>
  <c r="D16" i="30"/>
  <c r="D17" i="30"/>
  <c r="D18" i="30"/>
  <c r="D19" i="30"/>
  <c r="D20" i="30"/>
  <c r="D21" i="30"/>
  <c r="D22" i="30"/>
  <c r="D23" i="30"/>
  <c r="D24" i="30"/>
  <c r="D25" i="30"/>
  <c r="H9" i="15"/>
  <c r="H10" i="15"/>
  <c r="H11" i="15"/>
  <c r="H12" i="15"/>
  <c r="H13" i="15"/>
  <c r="H14" i="15"/>
  <c r="H15" i="15"/>
  <c r="H16" i="15"/>
  <c r="H17" i="15"/>
  <c r="H18" i="15"/>
  <c r="H19" i="15"/>
  <c r="M19" i="15" s="1"/>
  <c r="D21" i="36" s="1"/>
  <c r="H20" i="15"/>
  <c r="M20" i="15" s="1"/>
  <c r="H21" i="15"/>
  <c r="H22" i="15"/>
  <c r="H23" i="15"/>
  <c r="H24" i="15"/>
  <c r="H25" i="15"/>
  <c r="H26" i="15"/>
  <c r="H27" i="15"/>
  <c r="H28" i="15"/>
  <c r="M28" i="15" s="1"/>
  <c r="N28" i="15" s="1"/>
  <c r="D28" i="31" s="1"/>
  <c r="F30" i="36" s="1"/>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E11" i="15" s="1"/>
  <c r="C13" i="36" s="1"/>
  <c r="D12" i="15"/>
  <c r="E12" i="15" s="1"/>
  <c r="D13" i="15"/>
  <c r="F13" i="15" s="1"/>
  <c r="C13" i="31" s="1"/>
  <c r="D14" i="15"/>
  <c r="E14" i="15" s="1"/>
  <c r="D15" i="15"/>
  <c r="F15" i="15" s="1"/>
  <c r="C15" i="31" s="1"/>
  <c r="D16" i="15"/>
  <c r="E16" i="15" s="1"/>
  <c r="D17" i="15"/>
  <c r="E17" i="15" s="1"/>
  <c r="D18" i="15"/>
  <c r="F18" i="15" s="1"/>
  <c r="C18" i="31" s="1"/>
  <c r="D19" i="15"/>
  <c r="E19" i="15" s="1"/>
  <c r="D20" i="15"/>
  <c r="E20" i="15" s="1"/>
  <c r="D21" i="15"/>
  <c r="F21" i="15" s="1"/>
  <c r="C21" i="31" s="1"/>
  <c r="D22" i="15"/>
  <c r="E22" i="15" s="1"/>
  <c r="C86" i="9" s="1"/>
  <c r="D23" i="15"/>
  <c r="E23" i="15" s="1"/>
  <c r="D24" i="15"/>
  <c r="E24" i="15" s="1"/>
  <c r="D25" i="15"/>
  <c r="F25" i="15" s="1"/>
  <c r="C25" i="31" s="1"/>
  <c r="D26" i="15"/>
  <c r="F26" i="15" s="1"/>
  <c r="C26" i="31" s="1"/>
  <c r="D27" i="15"/>
  <c r="E27" i="15" s="1"/>
  <c r="D28" i="15"/>
  <c r="F28" i="15" s="1"/>
  <c r="C28" i="31" s="1"/>
  <c r="E21" i="15"/>
  <c r="C23" i="36" s="1"/>
  <c r="C80" i="9"/>
  <c r="B38" i="9"/>
  <c r="B44" i="9"/>
  <c r="B19" i="35"/>
  <c r="B74" i="9"/>
  <c r="B80" i="9"/>
  <c r="B86" i="9"/>
  <c r="B92" i="9"/>
  <c r="B98" i="9"/>
  <c r="B26" i="35"/>
  <c r="B116" i="9"/>
  <c r="B9" i="15"/>
  <c r="B25" i="36"/>
  <c r="A9" i="36"/>
  <c r="A28" i="35"/>
  <c r="A27" i="35"/>
  <c r="A26" i="35"/>
  <c r="A25" i="35"/>
  <c r="A24" i="35"/>
  <c r="A23" i="35"/>
  <c r="A22" i="35"/>
  <c r="A21" i="35"/>
  <c r="A20" i="35"/>
  <c r="A19" i="35"/>
  <c r="A9" i="35"/>
  <c r="A8" i="9"/>
  <c r="F19" i="15"/>
  <c r="C19" i="31" s="1"/>
  <c r="E21" i="36" s="1"/>
  <c r="A9" i="31"/>
  <c r="A9" i="15"/>
  <c r="D22" i="36" l="1"/>
  <c r="N20" i="15"/>
  <c r="D20" i="31" s="1"/>
  <c r="F22" i="36" s="1"/>
  <c r="C21" i="36"/>
  <c r="C68" i="9"/>
  <c r="M17" i="15"/>
  <c r="N17" i="15" s="1"/>
  <c r="D17" i="31" s="1"/>
  <c r="F19" i="36" s="1"/>
  <c r="C18" i="36"/>
  <c r="C50" i="9"/>
  <c r="M22" i="15"/>
  <c r="N22" i="15" s="1"/>
  <c r="D22" i="31" s="1"/>
  <c r="F24" i="36" s="1"/>
  <c r="M23" i="15"/>
  <c r="F22" i="15"/>
  <c r="C22" i="31" s="1"/>
  <c r="E26" i="15"/>
  <c r="C110" i="9" s="1"/>
  <c r="F20" i="15"/>
  <c r="C20" i="31" s="1"/>
  <c r="E28" i="15"/>
  <c r="C30" i="36" s="1"/>
  <c r="E25" i="15"/>
  <c r="M15" i="15"/>
  <c r="N15" i="15" s="1"/>
  <c r="D15" i="31" s="1"/>
  <c r="F17" i="36" s="1"/>
  <c r="M14" i="15"/>
  <c r="D38" i="9" s="1"/>
  <c r="D17" i="36"/>
  <c r="D44" i="9"/>
  <c r="U47" i="9" s="1"/>
  <c r="M12" i="15"/>
  <c r="N12" i="15" s="1"/>
  <c r="D12" i="31" s="1"/>
  <c r="F14" i="36" s="1"/>
  <c r="M10" i="15"/>
  <c r="D14" i="9" s="1"/>
  <c r="C16" i="36"/>
  <c r="C38" i="9"/>
  <c r="C56" i="9"/>
  <c r="C19" i="36"/>
  <c r="C116" i="9"/>
  <c r="C29" i="36"/>
  <c r="F17" i="15"/>
  <c r="C17" i="31" s="1"/>
  <c r="E17" i="31" s="1"/>
  <c r="G19" i="36" s="1"/>
  <c r="F16" i="15"/>
  <c r="C16" i="31" s="1"/>
  <c r="E18" i="36" s="1"/>
  <c r="E13" i="15"/>
  <c r="C15" i="36" s="1"/>
  <c r="E10" i="15"/>
  <c r="C14" i="9" s="1"/>
  <c r="M18" i="15"/>
  <c r="N18" i="15" s="1"/>
  <c r="D18" i="31" s="1"/>
  <c r="F20" i="36" s="1"/>
  <c r="F11" i="15"/>
  <c r="C11" i="31" s="1"/>
  <c r="E13" i="36" s="1"/>
  <c r="C24" i="36"/>
  <c r="D74" i="9"/>
  <c r="U79" i="9" s="1"/>
  <c r="E19" i="31"/>
  <c r="G21" i="36" s="1"/>
  <c r="M26" i="15"/>
  <c r="D28" i="36" s="1"/>
  <c r="F14" i="15"/>
  <c r="C14" i="31" s="1"/>
  <c r="F27" i="15"/>
  <c r="C27" i="31" s="1"/>
  <c r="E27" i="31" s="1"/>
  <c r="G29" i="36" s="1"/>
  <c r="F12" i="15"/>
  <c r="C12" i="31" s="1"/>
  <c r="E14" i="36" s="1"/>
  <c r="F24" i="15"/>
  <c r="C24" i="31" s="1"/>
  <c r="M27" i="15"/>
  <c r="D29" i="36" s="1"/>
  <c r="M25" i="15"/>
  <c r="D104" i="9" s="1"/>
  <c r="U104" i="9" s="1"/>
  <c r="M24" i="15"/>
  <c r="D26" i="36" s="1"/>
  <c r="M21" i="15"/>
  <c r="N21" i="15" s="1"/>
  <c r="D21" i="31" s="1"/>
  <c r="F23" i="36" s="1"/>
  <c r="M16" i="15"/>
  <c r="M13" i="15"/>
  <c r="N13" i="15" s="1"/>
  <c r="D13" i="31" s="1"/>
  <c r="M11" i="15"/>
  <c r="N11" i="15" s="1"/>
  <c r="D11" i="31" s="1"/>
  <c r="F13" i="36" s="1"/>
  <c r="B110" i="9"/>
  <c r="B13" i="35"/>
  <c r="B21" i="36"/>
  <c r="B27" i="36"/>
  <c r="B25" i="35"/>
  <c r="B104" i="9"/>
  <c r="B14" i="35"/>
  <c r="B68" i="9"/>
  <c r="B23" i="35"/>
  <c r="B20" i="35"/>
  <c r="B28" i="36"/>
  <c r="B21" i="35"/>
  <c r="B24" i="36"/>
  <c r="B27" i="35"/>
  <c r="B29" i="36"/>
  <c r="B22" i="35"/>
  <c r="B23" i="36"/>
  <c r="B24" i="35"/>
  <c r="B28" i="35"/>
  <c r="E21" i="31"/>
  <c r="G23" i="36" s="1"/>
  <c r="E23" i="36"/>
  <c r="E18" i="31"/>
  <c r="G20" i="36" s="1"/>
  <c r="E20" i="36"/>
  <c r="N27" i="15"/>
  <c r="D27" i="31" s="1"/>
  <c r="F29" i="36" s="1"/>
  <c r="D13" i="36"/>
  <c r="C92" i="9"/>
  <c r="C25" i="36"/>
  <c r="N23" i="15"/>
  <c r="D23" i="31" s="1"/>
  <c r="F25" i="36" s="1"/>
  <c r="D25" i="36"/>
  <c r="D92" i="9"/>
  <c r="U92" i="9" s="1"/>
  <c r="E22" i="31"/>
  <c r="G24" i="36" s="1"/>
  <c r="E24" i="36"/>
  <c r="E17" i="36"/>
  <c r="N26" i="15"/>
  <c r="D26" i="31" s="1"/>
  <c r="F28" i="36" s="1"/>
  <c r="E22" i="36"/>
  <c r="E20" i="31"/>
  <c r="G22" i="36" s="1"/>
  <c r="E26" i="31"/>
  <c r="G28" i="36" s="1"/>
  <c r="E28" i="36"/>
  <c r="E28" i="31"/>
  <c r="G30" i="36" s="1"/>
  <c r="E30" i="36"/>
  <c r="C22" i="36"/>
  <c r="C74" i="9"/>
  <c r="C14" i="36"/>
  <c r="C26" i="9"/>
  <c r="C26" i="36"/>
  <c r="C98" i="9"/>
  <c r="E15" i="36"/>
  <c r="E27" i="36"/>
  <c r="E25" i="31"/>
  <c r="G27" i="36" s="1"/>
  <c r="E11" i="36"/>
  <c r="D122" i="9"/>
  <c r="U122" i="9" s="1"/>
  <c r="U48" i="9"/>
  <c r="D30" i="36"/>
  <c r="B22" i="36"/>
  <c r="B26" i="36"/>
  <c r="B30" i="36"/>
  <c r="N19" i="15"/>
  <c r="D19" i="31" s="1"/>
  <c r="F21" i="36" s="1"/>
  <c r="C20" i="9"/>
  <c r="B122" i="9"/>
  <c r="E15" i="15"/>
  <c r="E18" i="15"/>
  <c r="C11" i="36"/>
  <c r="F23" i="15"/>
  <c r="C23" i="31" s="1"/>
  <c r="D68" i="9"/>
  <c r="E9" i="15"/>
  <c r="C8" i="9" s="1"/>
  <c r="E9" i="36"/>
  <c r="M9" i="15"/>
  <c r="D8" i="9" s="1"/>
  <c r="B9" i="35"/>
  <c r="B9" i="36"/>
  <c r="B8" i="9"/>
  <c r="B9" i="31"/>
  <c r="U46" i="9" l="1"/>
  <c r="N10" i="15"/>
  <c r="D10" i="31" s="1"/>
  <c r="F11" i="36" s="1"/>
  <c r="U44" i="9"/>
  <c r="C28" i="36"/>
  <c r="D20" i="36"/>
  <c r="C104" i="9"/>
  <c r="C27" i="36"/>
  <c r="D62" i="9"/>
  <c r="E16" i="31"/>
  <c r="G18" i="36" s="1"/>
  <c r="D24" i="36"/>
  <c r="D86" i="9"/>
  <c r="U91" i="9" s="1"/>
  <c r="U75" i="9"/>
  <c r="C122" i="9"/>
  <c r="D19" i="36"/>
  <c r="U76" i="9"/>
  <c r="U78" i="9"/>
  <c r="U77" i="9"/>
  <c r="U74" i="9"/>
  <c r="U49" i="9"/>
  <c r="W44" i="9" s="1"/>
  <c r="D56" i="9"/>
  <c r="U45" i="9"/>
  <c r="N16" i="15"/>
  <c r="D16" i="31" s="1"/>
  <c r="F18" i="36" s="1"/>
  <c r="D50" i="9"/>
  <c r="U50" i="9" s="1"/>
  <c r="D32" i="9"/>
  <c r="U37" i="9" s="1"/>
  <c r="I15" i="36" s="1"/>
  <c r="K15" i="36" s="1"/>
  <c r="N14" i="15"/>
  <c r="D14" i="31" s="1"/>
  <c r="F16" i="36" s="1"/>
  <c r="D20" i="9"/>
  <c r="U22" i="9" s="1"/>
  <c r="U43" i="9"/>
  <c r="U38" i="9"/>
  <c r="U42" i="9"/>
  <c r="U39" i="9"/>
  <c r="U40" i="9"/>
  <c r="U41" i="9"/>
  <c r="D16" i="36"/>
  <c r="E15" i="31"/>
  <c r="G17" i="36" s="1"/>
  <c r="F15" i="36"/>
  <c r="E13" i="31"/>
  <c r="G15" i="36" s="1"/>
  <c r="D15" i="36"/>
  <c r="C32" i="9"/>
  <c r="D26" i="9"/>
  <c r="U26" i="9" s="1"/>
  <c r="D14" i="36"/>
  <c r="E11" i="31"/>
  <c r="G13" i="36" s="1"/>
  <c r="U14" i="9"/>
  <c r="U15" i="9"/>
  <c r="U17" i="9"/>
  <c r="E10" i="31"/>
  <c r="G11" i="36" s="1"/>
  <c r="D11" i="36"/>
  <c r="D98" i="9"/>
  <c r="U98" i="9" s="1"/>
  <c r="E24" i="31"/>
  <c r="G26" i="36" s="1"/>
  <c r="E26" i="36"/>
  <c r="D27" i="36"/>
  <c r="N24" i="15"/>
  <c r="D24" i="31" s="1"/>
  <c r="F26" i="36" s="1"/>
  <c r="N25" i="15"/>
  <c r="D25" i="31" s="1"/>
  <c r="F27" i="36" s="1"/>
  <c r="E14" i="31"/>
  <c r="G16" i="36" s="1"/>
  <c r="E16" i="36"/>
  <c r="E29" i="36"/>
  <c r="D80" i="9"/>
  <c r="D18" i="36"/>
  <c r="E12" i="31"/>
  <c r="G14" i="36" s="1"/>
  <c r="D23" i="36"/>
  <c r="U18" i="9"/>
  <c r="E19" i="36"/>
  <c r="U16" i="9"/>
  <c r="U19" i="9"/>
  <c r="D110" i="9"/>
  <c r="U110" i="9" s="1"/>
  <c r="D116" i="9"/>
  <c r="U116" i="9" s="1"/>
  <c r="N9" i="15"/>
  <c r="D9" i="31" s="1"/>
  <c r="E9" i="31" s="1"/>
  <c r="G9" i="36" s="1"/>
  <c r="D9" i="36"/>
  <c r="U13" i="9"/>
  <c r="W8" i="9" s="1"/>
  <c r="U9" i="9"/>
  <c r="U8" i="9"/>
  <c r="U12" i="9"/>
  <c r="U11" i="9"/>
  <c r="U10" i="9"/>
  <c r="U84" i="9"/>
  <c r="U81" i="9"/>
  <c r="U83" i="9"/>
  <c r="U80" i="9"/>
  <c r="U85" i="9"/>
  <c r="W80" i="9" s="1"/>
  <c r="U82" i="9"/>
  <c r="U25" i="9"/>
  <c r="W20" i="9" s="1"/>
  <c r="E23" i="31"/>
  <c r="G25" i="36" s="1"/>
  <c r="E25" i="36"/>
  <c r="U64" i="9"/>
  <c r="U67" i="9"/>
  <c r="D18" i="35" s="1"/>
  <c r="F18" i="35" s="1"/>
  <c r="U66" i="9"/>
  <c r="U63" i="9"/>
  <c r="U65" i="9"/>
  <c r="U62" i="9"/>
  <c r="C9" i="36"/>
  <c r="U71" i="9"/>
  <c r="U70" i="9"/>
  <c r="U73" i="9"/>
  <c r="D19" i="35" s="1"/>
  <c r="F19" i="35" s="1"/>
  <c r="U68" i="9"/>
  <c r="U72" i="9"/>
  <c r="U69" i="9"/>
  <c r="U89" i="9"/>
  <c r="C17" i="36"/>
  <c r="C44" i="9"/>
  <c r="T126" i="9"/>
  <c r="T115" i="9"/>
  <c r="H28" i="36" s="1"/>
  <c r="J28" i="36" s="1"/>
  <c r="T51" i="9"/>
  <c r="T54" i="9"/>
  <c r="T10" i="9"/>
  <c r="T13" i="9"/>
  <c r="V8" i="9" s="1"/>
  <c r="T66" i="9"/>
  <c r="T81" i="9"/>
  <c r="T17" i="9"/>
  <c r="T88" i="9"/>
  <c r="T24" i="9"/>
  <c r="T103" i="9"/>
  <c r="V98" i="9" s="1"/>
  <c r="T39" i="9"/>
  <c r="T69" i="9"/>
  <c r="T94" i="9"/>
  <c r="T118" i="9"/>
  <c r="T107" i="9"/>
  <c r="T43" i="9"/>
  <c r="H16" i="36" s="1"/>
  <c r="J16" i="36" s="1"/>
  <c r="T30" i="9"/>
  <c r="T102" i="9"/>
  <c r="T122" i="9"/>
  <c r="T58" i="9"/>
  <c r="T73" i="9"/>
  <c r="H21" i="36" s="1"/>
  <c r="J21" i="36" s="1"/>
  <c r="T80" i="9"/>
  <c r="T16" i="9"/>
  <c r="T95" i="9"/>
  <c r="T31" i="9"/>
  <c r="C12" i="35" s="1"/>
  <c r="E12" i="35" s="1"/>
  <c r="T61" i="9"/>
  <c r="C17" i="35" s="1"/>
  <c r="E17" i="35" s="1"/>
  <c r="T83" i="9"/>
  <c r="T38" i="9"/>
  <c r="T86" i="9"/>
  <c r="T116" i="9"/>
  <c r="T99" i="9"/>
  <c r="T117" i="9"/>
  <c r="T124" i="9"/>
  <c r="T9"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11" i="9"/>
  <c r="T37" i="9"/>
  <c r="V32" i="9" s="1"/>
  <c r="T35" i="9"/>
  <c r="T76" i="9"/>
  <c r="T19" i="9"/>
  <c r="V14" i="9" s="1"/>
  <c r="T77" i="9"/>
  <c r="T68" i="9"/>
  <c r="T98" i="9"/>
  <c r="T34" i="9"/>
  <c r="T113" i="9"/>
  <c r="T49" i="9"/>
  <c r="H17" i="36" s="1"/>
  <c r="J17" i="36" s="1"/>
  <c r="T120" i="9"/>
  <c r="T56" i="9"/>
  <c r="T12" i="9"/>
  <c r="T71" i="9"/>
  <c r="T70" i="9"/>
  <c r="T21" i="9"/>
  <c r="T125" i="9"/>
  <c r="T52" i="9"/>
  <c r="T75" i="9"/>
  <c r="T53" i="9"/>
  <c r="T109" i="9"/>
  <c r="V104" i="9" s="1"/>
  <c r="T44" i="9"/>
  <c r="T90" i="9"/>
  <c r="T26" i="9"/>
  <c r="T105" i="9"/>
  <c r="T41" i="9"/>
  <c r="T112" i="9"/>
  <c r="T48" i="9"/>
  <c r="T127" i="9"/>
  <c r="T63" i="9"/>
  <c r="T46" i="9"/>
  <c r="T84" i="9"/>
  <c r="T101" i="9"/>
  <c r="T28" i="9"/>
  <c r="T67" i="9"/>
  <c r="H20" i="36" s="1"/>
  <c r="J20"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20" i="36"/>
  <c r="U35" i="9"/>
  <c r="U36" i="9"/>
  <c r="U32" i="9"/>
  <c r="U34" i="9"/>
  <c r="U33" i="9"/>
  <c r="I10" i="31"/>
  <c r="C11" i="37" s="1"/>
  <c r="J10" i="31"/>
  <c r="D11" i="37" s="1"/>
  <c r="M13" i="31"/>
  <c r="G14" i="37" s="1"/>
  <c r="D27" i="35"/>
  <c r="F27" i="35" s="1"/>
  <c r="W116" i="9"/>
  <c r="I29" i="36"/>
  <c r="K29" i="36" s="1"/>
  <c r="W68" i="9"/>
  <c r="W104" i="9"/>
  <c r="I27" i="36"/>
  <c r="K27" i="36" s="1"/>
  <c r="D25" i="35"/>
  <c r="F25" i="35" s="1"/>
  <c r="W74" i="9"/>
  <c r="I22" i="36"/>
  <c r="K22" i="36" s="1"/>
  <c r="D20" i="35"/>
  <c r="F20" i="35" s="1"/>
  <c r="D28" i="35"/>
  <c r="F28" i="35" s="1"/>
  <c r="W122" i="9"/>
  <c r="I30" i="36"/>
  <c r="K30" i="36" s="1"/>
  <c r="I28" i="36"/>
  <c r="K28" i="36" s="1"/>
  <c r="D26" i="35"/>
  <c r="F26" i="35" s="1"/>
  <c r="W110" i="9"/>
  <c r="D23" i="35"/>
  <c r="F23" i="35" s="1"/>
  <c r="I25" i="36"/>
  <c r="K25" i="36" s="1"/>
  <c r="W92" i="9"/>
  <c r="I26" i="36"/>
  <c r="K26" i="36" s="1"/>
  <c r="W98" i="9"/>
  <c r="D24" i="35"/>
  <c r="F24" i="35" s="1"/>
  <c r="W62" i="9"/>
  <c r="I16" i="36"/>
  <c r="K16" i="36" s="1"/>
  <c r="W38" i="9"/>
  <c r="D14" i="35"/>
  <c r="F14" i="35" s="1"/>
  <c r="V74" i="9"/>
  <c r="I13" i="31" l="1"/>
  <c r="C14" i="37" s="1"/>
  <c r="U23" i="9"/>
  <c r="U21" i="9"/>
  <c r="U20" i="9"/>
  <c r="D10" i="35"/>
  <c r="F10" i="35" s="1"/>
  <c r="I11" i="36"/>
  <c r="D22" i="35"/>
  <c r="F22" i="35" s="1"/>
  <c r="I24" i="36"/>
  <c r="K24" i="36" s="1"/>
  <c r="W86" i="9"/>
  <c r="K10" i="31"/>
  <c r="E11" i="37" s="1"/>
  <c r="M9" i="31"/>
  <c r="G10" i="37" s="1"/>
  <c r="J13" i="31"/>
  <c r="D14" i="37" s="1"/>
  <c r="U55" i="9"/>
  <c r="W50" i="9" s="1"/>
  <c r="U60" i="9"/>
  <c r="U57" i="9"/>
  <c r="U59" i="9"/>
  <c r="U61" i="9"/>
  <c r="U56" i="9"/>
  <c r="U58" i="9"/>
  <c r="K11" i="31"/>
  <c r="E12" i="37" s="1"/>
  <c r="D15" i="35"/>
  <c r="F15" i="35" s="1"/>
  <c r="J11" i="31"/>
  <c r="D12" i="37" s="1"/>
  <c r="L11" i="31"/>
  <c r="F12" i="37" s="1"/>
  <c r="K9" i="31"/>
  <c r="E10" i="37" s="1"/>
  <c r="L10" i="31"/>
  <c r="F11" i="37" s="1"/>
  <c r="L12" i="31"/>
  <c r="F13" i="37" s="1"/>
  <c r="U86" i="9"/>
  <c r="I9" i="31"/>
  <c r="C10" i="37" s="1"/>
  <c r="I17" i="36"/>
  <c r="K17" i="36" s="1"/>
  <c r="I12" i="31"/>
  <c r="C13" i="37" s="1"/>
  <c r="U87" i="9"/>
  <c r="U90" i="9"/>
  <c r="I20" i="36"/>
  <c r="K20" i="36" s="1"/>
  <c r="I21" i="36"/>
  <c r="K21" i="36" s="1"/>
  <c r="M12" i="31"/>
  <c r="G13" i="37" s="1"/>
  <c r="U88" i="9"/>
  <c r="U24" i="9"/>
  <c r="M10" i="31"/>
  <c r="G11" i="37" s="1"/>
  <c r="J9" i="31"/>
  <c r="D10" i="37" s="1"/>
  <c r="L13" i="31"/>
  <c r="F14" i="37" s="1"/>
  <c r="L9" i="31"/>
  <c r="F10" i="37" s="1"/>
  <c r="I11" i="31"/>
  <c r="C12" i="37" s="1"/>
  <c r="B14" i="33"/>
  <c r="U28" i="9"/>
  <c r="U27" i="9"/>
  <c r="U31" i="9"/>
  <c r="U29" i="9"/>
  <c r="U30" i="9"/>
  <c r="B15" i="33"/>
  <c r="B16" i="33"/>
  <c r="K11" i="36"/>
  <c r="W14" i="9"/>
  <c r="D9" i="35"/>
  <c r="I9" i="36" s="1"/>
  <c r="C14" i="35"/>
  <c r="E14" i="35" s="1"/>
  <c r="G14" i="35" s="1"/>
  <c r="V38" i="9"/>
  <c r="V110" i="9"/>
  <c r="H18" i="36"/>
  <c r="J18" i="36" s="1"/>
  <c r="H22" i="36"/>
  <c r="J22" i="36" s="1"/>
  <c r="L22" i="36" s="1"/>
  <c r="N22" i="36" s="1"/>
  <c r="M22" i="36" s="1"/>
  <c r="P22" i="36" s="1"/>
  <c r="D11" i="35"/>
  <c r="F11" i="35" s="1"/>
  <c r="I13" i="36"/>
  <c r="K13" i="36" s="1"/>
  <c r="W32" i="9"/>
  <c r="D13" i="35"/>
  <c r="F13" i="35" s="1"/>
  <c r="D21" i="35"/>
  <c r="F21" i="35" s="1"/>
  <c r="G21" i="35" s="1"/>
  <c r="U52" i="9"/>
  <c r="I23" i="36"/>
  <c r="K23" i="36" s="1"/>
  <c r="U53" i="9"/>
  <c r="U51" i="9"/>
  <c r="J12" i="31"/>
  <c r="D13" i="37" s="1"/>
  <c r="U54" i="9"/>
  <c r="K12" i="31"/>
  <c r="E13" i="37" s="1"/>
  <c r="M11" i="31"/>
  <c r="G12" i="37" s="1"/>
  <c r="C16" i="35"/>
  <c r="E16" i="35" s="1"/>
  <c r="K13" i="31"/>
  <c r="E14" i="37" s="1"/>
  <c r="G23" i="35"/>
  <c r="G22" i="35"/>
  <c r="F9" i="36"/>
  <c r="H19" i="36"/>
  <c r="J19" i="36" s="1"/>
  <c r="L21" i="36"/>
  <c r="N21" i="36" s="1"/>
  <c r="M21" i="36" s="1"/>
  <c r="P21" i="36" s="1"/>
  <c r="H26" i="36"/>
  <c r="J26" i="36" s="1"/>
  <c r="L26" i="36" s="1"/>
  <c r="N26" i="36" s="1"/>
  <c r="M26" i="36" s="1"/>
  <c r="P26" i="36" s="1"/>
  <c r="C27" i="35"/>
  <c r="E27" i="35" s="1"/>
  <c r="G27" i="35" s="1"/>
  <c r="C13" i="35"/>
  <c r="E13" i="35" s="1"/>
  <c r="C15" i="35"/>
  <c r="E15" i="35" s="1"/>
  <c r="C9" i="35"/>
  <c r="H9" i="36" s="1"/>
  <c r="H15" i="36"/>
  <c r="J15" i="36" s="1"/>
  <c r="L15" i="36" s="1"/>
  <c r="N15" i="36" s="1"/>
  <c r="M15" i="36" s="1"/>
  <c r="P15" i="36" s="1"/>
  <c r="V44" i="9"/>
  <c r="H29" i="36"/>
  <c r="J29" i="36" s="1"/>
  <c r="L29" i="36" s="1"/>
  <c r="N29" i="36" s="1"/>
  <c r="M29" i="36" s="1"/>
  <c r="P29" i="36" s="1"/>
  <c r="C19" i="35"/>
  <c r="E19" i="35" s="1"/>
  <c r="G19" i="35" s="1"/>
  <c r="H23" i="36"/>
  <c r="J23" i="36" s="1"/>
  <c r="H24" i="36"/>
  <c r="J24" i="36" s="1"/>
  <c r="L24" i="36" s="1"/>
  <c r="N24" i="36" s="1"/>
  <c r="M24" i="36" s="1"/>
  <c r="P24" i="36" s="1"/>
  <c r="V56" i="9"/>
  <c r="V68" i="9"/>
  <c r="V80" i="9"/>
  <c r="C24" i="35"/>
  <c r="E24" i="35" s="1"/>
  <c r="G24" i="35" s="1"/>
  <c r="L20" i="36"/>
  <c r="N20" i="36" s="1"/>
  <c r="M20" i="36" s="1"/>
  <c r="P20" i="36" s="1"/>
  <c r="B17" i="33"/>
  <c r="L28" i="36"/>
  <c r="N28" i="36" s="1"/>
  <c r="M28" i="36" s="1"/>
  <c r="P28" i="36" s="1"/>
  <c r="G20" i="35"/>
  <c r="L17" i="36"/>
  <c r="N17" i="36" s="1"/>
  <c r="M17" i="36" s="1"/>
  <c r="P17" i="36" s="1"/>
  <c r="L16" i="36"/>
  <c r="N16" i="36" s="1"/>
  <c r="M16" i="36" s="1"/>
  <c r="P16" i="36" s="1"/>
  <c r="G11" i="35"/>
  <c r="C26" i="35"/>
  <c r="E26" i="35" s="1"/>
  <c r="G26" i="35" s="1"/>
  <c r="V86" i="9"/>
  <c r="V122" i="9"/>
  <c r="C28" i="35"/>
  <c r="E28" i="35" s="1"/>
  <c r="G28" i="35" s="1"/>
  <c r="H30" i="36"/>
  <c r="J30" i="36" s="1"/>
  <c r="L30" i="36" s="1"/>
  <c r="N30" i="36" s="1"/>
  <c r="M30" i="36" s="1"/>
  <c r="P30" i="36" s="1"/>
  <c r="C25" i="35"/>
  <c r="E25" i="35" s="1"/>
  <c r="G25" i="35" s="1"/>
  <c r="V26" i="9"/>
  <c r="H14" i="36"/>
  <c r="J14" i="36" s="1"/>
  <c r="V62" i="9"/>
  <c r="C18" i="35"/>
  <c r="E18" i="35" s="1"/>
  <c r="G18" i="35" s="1"/>
  <c r="V92" i="9"/>
  <c r="H11" i="36"/>
  <c r="J11" i="36" s="1"/>
  <c r="H25" i="36"/>
  <c r="J25" i="36" s="1"/>
  <c r="L25" i="36" s="1"/>
  <c r="N25" i="36" s="1"/>
  <c r="M25" i="36" s="1"/>
  <c r="P25" i="36" s="1"/>
  <c r="C10" i="35"/>
  <c r="E10" i="35" s="1"/>
  <c r="G10" i="35" s="1"/>
  <c r="V20" i="9"/>
  <c r="H13" i="36"/>
  <c r="J13" i="36" s="1"/>
  <c r="H27" i="36"/>
  <c r="J27" i="36" s="1"/>
  <c r="L27" i="36" s="1"/>
  <c r="N27" i="36" s="1"/>
  <c r="M27" i="36" s="1"/>
  <c r="P27" i="36" s="1"/>
  <c r="G15" i="35" l="1"/>
  <c r="D16" i="35"/>
  <c r="F16" i="35" s="1"/>
  <c r="G16" i="35" s="1"/>
  <c r="F9" i="35"/>
  <c r="K9" i="36" s="1"/>
  <c r="I19" i="36"/>
  <c r="K19" i="36" s="1"/>
  <c r="L19" i="36" s="1"/>
  <c r="N19" i="36" s="1"/>
  <c r="M19" i="36" s="1"/>
  <c r="P19" i="36" s="1"/>
  <c r="D17" i="35"/>
  <c r="F17" i="35" s="1"/>
  <c r="G17" i="35" s="1"/>
  <c r="W56" i="9"/>
  <c r="L23" i="36"/>
  <c r="N23" i="36" s="1"/>
  <c r="M23" i="36" s="1"/>
  <c r="P23" i="36" s="1"/>
  <c r="I18" i="36"/>
  <c r="K18" i="36" s="1"/>
  <c r="L18" i="36" s="1"/>
  <c r="N18" i="36" s="1"/>
  <c r="M18" i="36" s="1"/>
  <c r="P18" i="36" s="1"/>
  <c r="G13" i="35"/>
  <c r="B18" i="33"/>
  <c r="C18" i="33" s="1"/>
  <c r="W26" i="9"/>
  <c r="D12" i="35"/>
  <c r="F12" i="35" s="1"/>
  <c r="G12" i="35" s="1"/>
  <c r="I14" i="36"/>
  <c r="K14" i="36" s="1"/>
  <c r="L14" i="36" s="1"/>
  <c r="N14" i="36" s="1"/>
  <c r="M14" i="36" s="1"/>
  <c r="P14" i="36" s="1"/>
  <c r="L13" i="36"/>
  <c r="N13" i="36" s="1"/>
  <c r="M13" i="36" s="1"/>
  <c r="P13" i="36" s="1"/>
  <c r="L11" i="36"/>
  <c r="N11" i="36" s="1"/>
  <c r="M11" i="36" s="1"/>
  <c r="P11" i="36" s="1"/>
  <c r="E9" i="35"/>
  <c r="G9" i="35" s="1"/>
  <c r="L9" i="36" s="1"/>
  <c r="B21" i="33"/>
  <c r="C14" i="33" l="1"/>
  <c r="C17" i="33"/>
  <c r="C15" i="33"/>
  <c r="C16" i="33"/>
  <c r="K10" i="35"/>
  <c r="K11" i="37" s="1"/>
  <c r="N9" i="35"/>
  <c r="N10" i="37" s="1"/>
  <c r="M13" i="35"/>
  <c r="M14" i="37" s="1"/>
  <c r="O11" i="35"/>
  <c r="O12" i="37" s="1"/>
  <c r="O13" i="35"/>
  <c r="O14" i="37" s="1"/>
  <c r="O10" i="35"/>
  <c r="O11" i="37" s="1"/>
  <c r="J9" i="36"/>
  <c r="L13" i="35"/>
  <c r="L14" i="37" s="1"/>
  <c r="O9" i="35"/>
  <c r="O10" i="37" s="1"/>
  <c r="M11" i="35"/>
  <c r="M12" i="37" s="1"/>
  <c r="L11" i="35"/>
  <c r="L12" i="37" s="1"/>
  <c r="N10" i="35"/>
  <c r="N11" i="37" s="1"/>
  <c r="K11" i="35"/>
  <c r="K12" i="37" s="1"/>
  <c r="O12" i="35"/>
  <c r="O13" i="37" s="1"/>
  <c r="N12" i="35"/>
  <c r="N13" i="37" s="1"/>
  <c r="K9" i="35"/>
  <c r="K10" i="37" s="1"/>
  <c r="M10" i="35"/>
  <c r="M11" i="37" s="1"/>
  <c r="L12" i="35"/>
  <c r="L13" i="37" s="1"/>
  <c r="L10" i="35"/>
  <c r="L11" i="37" s="1"/>
  <c r="L9" i="35"/>
  <c r="L10" i="37" s="1"/>
  <c r="M12" i="35"/>
  <c r="M13" i="37" s="1"/>
  <c r="K13" i="35"/>
  <c r="K14" i="37" s="1"/>
  <c r="N13" i="35"/>
  <c r="N14" i="37" s="1"/>
  <c r="M9" i="35"/>
  <c r="M10" i="37" s="1"/>
  <c r="K12" i="35"/>
  <c r="K13" i="37" s="1"/>
  <c r="N11" i="35"/>
  <c r="N12" i="37" s="1"/>
  <c r="N9" i="36"/>
  <c r="M9" i="36" s="1"/>
  <c r="P9" i="36" s="1"/>
  <c r="D14" i="33"/>
  <c r="D16" i="33"/>
  <c r="D17" i="33"/>
  <c r="D15" i="33"/>
  <c r="D18" i="33" l="1"/>
  <c r="E18" i="33" s="1"/>
  <c r="D21" i="33" l="1"/>
  <c r="E14" i="33"/>
  <c r="E15" i="33"/>
  <c r="E17" i="33"/>
  <c r="E16" i="3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Milena Andrade Murillo</author>
  </authors>
  <commentList>
    <comment ref="Q9" authorId="0" shapeId="0" xr:uid="{BCC595CD-321F-4C7D-A97C-1F87B5D868D7}">
      <text>
        <r>
          <rPr>
            <b/>
            <sz val="9"/>
            <color indexed="81"/>
            <rFont val="Tahoma"/>
            <charset val="1"/>
          </rPr>
          <t>Sandra Milena Andrade Murillo:</t>
        </r>
        <r>
          <rPr>
            <sz val="9"/>
            <color indexed="81"/>
            <rFont val="Tahoma"/>
            <charset val="1"/>
          </rPr>
          <t xml:space="preserve">
Incluir periodicidad de la actividad y la evidencias que se generan
Este riesgo incluye dos controles, por lo cual se deben incluir dos acciones, es decir minimo un acciones por cada control</t>
        </r>
      </text>
    </comment>
  </commentList>
</comments>
</file>

<file path=xl/sharedStrings.xml><?xml version="1.0" encoding="utf-8"?>
<sst xmlns="http://schemas.openxmlformats.org/spreadsheetml/2006/main" count="1006" uniqueCount="435">
  <si>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</si>
  <si>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</si>
  <si>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</si>
  <si>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</si>
  <si>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</si>
  <si>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</si>
  <si>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</si>
  <si>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</si>
  <si>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</si>
  <si>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</si>
  <si>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</si>
  <si>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</si>
  <si>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</si>
  <si>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</si>
  <si>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</si>
  <si>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</si>
  <si>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</si>
  <si>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</si>
  <si>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</si>
  <si>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</si>
  <si>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</si>
  <si>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</si>
  <si>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</si>
  <si>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</si>
  <si>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</si>
  <si>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</si>
  <si>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</si>
  <si>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</si>
  <si>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</si>
  <si>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</si>
  <si>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</si>
  <si>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</si>
  <si>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</si>
  <si>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</si>
  <si>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</si>
  <si>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</si>
  <si>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</si>
  <si>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</si>
  <si>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</si>
  <si>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</si>
  <si>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</si>
  <si>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</si>
  <si>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</si>
  <si>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</si>
  <si>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</si>
  <si>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</si>
  <si>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</si>
  <si>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</si>
  <si>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</si>
  <si>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</si>
  <si>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</si>
  <si>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</si>
  <si>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</si>
  <si>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</si>
  <si>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</si>
  <si>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</si>
  <si>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</si>
  <si>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</si>
  <si>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</si>
  <si>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</si>
  <si>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</si>
  <si>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</si>
  <si>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</si>
  <si>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</si>
  <si>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</si>
  <si>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</si>
  <si>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</si>
  <si>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</si>
  <si>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</si>
  <si>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</si>
  <si>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</si>
  <si>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</si>
  <si>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</si>
  <si>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</si>
  <si>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</si>
  <si>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</si>
  <si>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</si>
  <si>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</si>
  <si>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</si>
  <si>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</si>
  <si>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</si>
  <si>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</si>
  <si>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</si>
  <si>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</si>
  <si>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</si>
  <si>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</si>
  <si>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</si>
  <si>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</si>
  <si>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</si>
  <si>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</si>
  <si>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</si>
  <si>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</si>
  <si>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</si>
  <si>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</si>
  <si>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</si>
  <si>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</si>
  <si>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</si>
  <si>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</si>
  <si>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</si>
  <si>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</si>
  <si>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</si>
  <si>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</si>
  <si>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</si>
  <si>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</si>
  <si>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</si>
  <si>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</si>
  <si>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</si>
  <si>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</si>
  <si>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</si>
  <si>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</si>
  <si>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</si>
  <si>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</si>
  <si>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</si>
  <si>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</si>
  <si>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R8</t>
  </si>
  <si>
    <t>R9</t>
  </si>
  <si>
    <t>R10</t>
  </si>
  <si>
    <t>R11</t>
  </si>
  <si>
    <t>R12</t>
  </si>
  <si>
    <t>R13</t>
  </si>
  <si>
    <t>R14</t>
  </si>
  <si>
    <t>R15</t>
  </si>
  <si>
    <t>R16</t>
  </si>
  <si>
    <t>R17</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</si>
  <si>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</si>
  <si>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</si>
  <si>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</si>
  <si>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</si>
  <si>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</si>
  <si>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</si>
  <si>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</si>
  <si>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</si>
  <si>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</si>
  <si>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</si>
  <si>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</si>
  <si>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</si>
  <si>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</si>
  <si>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</si>
  <si>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</si>
  <si>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</si>
  <si>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</si>
  <si>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</si>
  <si>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</si>
  <si>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</si>
  <si>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</si>
  <si>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</si>
  <si>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</si>
  <si>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</si>
  <si>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</si>
  <si>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</si>
  <si>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</si>
  <si>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</si>
  <si>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</si>
  <si>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</si>
  <si>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</si>
  <si>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</si>
  <si>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</si>
  <si>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</si>
  <si>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</si>
  <si>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</si>
  <si>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</si>
  <si>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</si>
  <si>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</si>
  <si>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</si>
  <si>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</si>
  <si>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</si>
  <si>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</si>
  <si>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</si>
  <si>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</si>
  <si>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</si>
  <si>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</si>
  <si>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</si>
  <si>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</si>
  <si>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</si>
  <si>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</si>
  <si>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</si>
  <si>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</si>
  <si>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</si>
  <si>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</si>
  <si>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</si>
  <si>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</si>
  <si>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</si>
  <si>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</si>
  <si>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</si>
  <si>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</si>
  <si>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</si>
  <si>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</si>
  <si>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</si>
  <si>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</si>
  <si>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</si>
  <si>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</si>
  <si>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</si>
  <si>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</si>
  <si>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</si>
  <si>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</si>
  <si>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</si>
  <si>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</si>
  <si>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</si>
  <si>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</si>
  <si>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</si>
  <si>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</si>
  <si>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</si>
  <si>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</si>
  <si>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</si>
  <si>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</si>
  <si>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</si>
  <si>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</si>
  <si>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</si>
  <si>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</si>
  <si>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</si>
  <si>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</si>
  <si>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</si>
  <si>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</si>
  <si>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</si>
  <si>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</si>
  <si>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</si>
  <si>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</si>
  <si>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</si>
  <si>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</si>
  <si>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</si>
  <si>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</si>
  <si>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</si>
  <si>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</si>
  <si>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</si>
  <si>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</si>
  <si>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</si>
  <si>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</si>
  <si>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</si>
  <si>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</si>
  <si>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</si>
  <si>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</si>
  <si>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</si>
  <si>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</si>
  <si>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</si>
  <si>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</si>
  <si>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</si>
  <si>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</si>
  <si>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</si>
  <si>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</si>
  <si>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</si>
  <si>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</si>
  <si>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</si>
  <si>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</si>
  <si>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</si>
  <si>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</si>
  <si>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</si>
  <si>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</si>
  <si>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</si>
  <si>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</si>
  <si>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</si>
  <si>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</si>
  <si>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</si>
  <si>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</si>
  <si>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</si>
  <si>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</si>
  <si>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</si>
  <si>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</si>
  <si>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</si>
  <si>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</si>
  <si>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</si>
  <si>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</si>
  <si>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</si>
  <si>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</si>
  <si>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</si>
  <si>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</si>
  <si>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</si>
  <si>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</si>
  <si>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</si>
  <si>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</si>
  <si>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</si>
  <si>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</si>
  <si>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</si>
  <si>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</si>
  <si>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</si>
  <si>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</si>
  <si>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</si>
  <si>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</si>
  <si>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</si>
  <si>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</si>
  <si>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</si>
  <si>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</si>
  <si>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</si>
  <si>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</si>
  <si>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</si>
  <si>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</si>
  <si>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</si>
  <si>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</si>
  <si>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</si>
  <si>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</si>
  <si>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</si>
  <si>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</si>
  <si>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</si>
  <si>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</si>
  <si>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</si>
  <si>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</si>
  <si>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</si>
  <si>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</si>
  <si>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</si>
  <si>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</si>
  <si>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</si>
  <si>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</si>
  <si>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</si>
  <si>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</si>
  <si>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</si>
  <si>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</si>
  <si>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</si>
  <si>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</si>
  <si>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</si>
  <si>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</si>
  <si>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</si>
  <si>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</si>
  <si>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</si>
  <si>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</si>
  <si>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</si>
  <si>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</si>
  <si>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</si>
  <si>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</si>
  <si>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</si>
  <si>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</si>
  <si>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</si>
  <si>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</si>
  <si>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</si>
  <si>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</si>
  <si>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</si>
  <si>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</si>
  <si>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</si>
  <si>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</si>
  <si>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</si>
  <si>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</si>
  <si>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</si>
  <si>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</si>
  <si>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</si>
  <si>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</si>
  <si>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</si>
  <si>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</si>
  <si>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</si>
  <si>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</si>
  <si>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</si>
  <si>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</si>
  <si>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</si>
  <si>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</si>
  <si>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</si>
  <si>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</si>
  <si>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</si>
  <si>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</si>
  <si>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</si>
  <si>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</si>
  <si>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</si>
  <si>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</si>
  <si>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</si>
  <si>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</si>
  <si>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</si>
  <si>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</si>
  <si>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</si>
  <si>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</si>
  <si>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</si>
  <si>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</si>
  <si>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</si>
  <si>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</si>
  <si>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</si>
  <si>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</si>
  <si>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</si>
  <si>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</si>
  <si>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</si>
  <si>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</si>
  <si>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</si>
  <si>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</si>
  <si>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</si>
  <si>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1 de enero de 2026</t>
  </si>
  <si>
    <t>31 de diciembre de 2026</t>
  </si>
  <si>
    <t>GEGI</t>
  </si>
  <si>
    <t>Vigencia:  2026</t>
  </si>
  <si>
    <t>SUPERSOLIDARIA</t>
  </si>
  <si>
    <t>Coordinadora GIT de Relacionamiento con la Ciudadanía</t>
  </si>
  <si>
    <t>Coordinador de comunicaciones</t>
  </si>
  <si>
    <t>Coordinador de comunicaciones diseñar e implementar estrategias de comunicación interna para promover los valores institucionales de acuerdo a lo establecido en el codigo de integridad de los funcionarios de SES. Esto se realiza de manera mensual</t>
  </si>
  <si>
    <t>Organizar eventos asociados a actividades de participación ciudadana, solicita al Grupo de Talento humano donde se encuentra el proceso de SST los lineamientos o requisitos normativos a tener en cuenta dentro de la gestión de estas actividades.</t>
  </si>
  <si>
    <t xml:space="preserve">Organizar eventos asociados a actividades de participación ciudadana, solicita al Grupo de Talento humano donde se encuentra el proceso de SST los lineamientos o requisitos normativos a tener en cuenta dentro de la gestión de estas actividades. Se realiza cada siempre que sea requerido </t>
  </si>
  <si>
    <t>una orientación inadecuada en la prestación del servicio</t>
  </si>
  <si>
    <t>reporta a las áreas a través de matriz de escalonamiento, las PQRSDF que se notifiquen directamente desde los ciudadanos al GIT de Relacionaimento con la Ciudadanía.</t>
  </si>
  <si>
    <t>El Coordinadora del GIT de Relacionamiento con la Ciudadanía</t>
  </si>
  <si>
    <t xml:space="preserve">Desarrollar el Plan de Acción de la estrategia de relacionamiento con la Ciudadanía con actividades conducentes a fortalecer los conocimientos en los trámites y OPA´s de la SES, como capacitaciones o talleres pedagógicos de fácil aplicación. 
Evidencia: Reporte del Plan de Acción de la Estratégia de Servicio al Ciudadano
Periodicidad: Mensual
</t>
  </si>
  <si>
    <t>Aplicar la herramienta de seguimiento a la gestión de PQRSDF a cada una de las áreas para identificar oportunidades de mejora que permitan optimizar los términos de respuesta.
Evidencia: Matríz de seguimiento de PQRSDF
Periodicidad: Mensual</t>
  </si>
  <si>
    <t>Reportar los escalonamientos semanales de las PQRSDF que los ciudadanos reportan no haber obtenido respuesta.
Evidencia: Matriz de escalonamiento
Periodicidad: Mensual</t>
  </si>
  <si>
    <t>Desarrollar el Plan de Acción  Política de Relacionamiento con el Ciudadano - MIPG en torno a los lineamientos internos de la entidad y normatividad vigente.
Evidencia: Listados de asistencia, diapositivas y acta de reunión.
Periodicidad: Trimestral</t>
  </si>
  <si>
    <t>Diseñar piezas de comunicación de  manera mensual, las cuales se divulgaran por medio de mailing  promoviendo los valores establecidos en el codigo de integridad a los funcionarios de la entidad. Se dejará como evidencia las piezas comunicativas realizadas
Evidencia: Piezas gráficas diseñadas.
Periodicidad: Mensual</t>
  </si>
  <si>
    <t>Solicitar protocolos de SST, para la ejecución de encuentros con grupos de interes, para garantizar un desarrollo oportuno de las actividades 
Evidencias: Correo de solicitud a talento humano del protocolo de SST.
Periodicidad: Cada que se requiera</t>
  </si>
  <si>
    <t>falta de planeación previa a la ejecución de las actividades organizadas con 100 o hasta 500 personas.</t>
  </si>
  <si>
    <t>afectación a los asistentes a actividades organizadas por la SES</t>
  </si>
  <si>
    <t>GEGI-1</t>
  </si>
  <si>
    <t>GEGI-2</t>
  </si>
  <si>
    <t>GEGI-10</t>
  </si>
  <si>
    <t>GEGI-13</t>
  </si>
  <si>
    <t>GEGI-14</t>
  </si>
  <si>
    <t>GEGI-15</t>
  </si>
  <si>
    <t>GEGI-12</t>
  </si>
  <si>
    <t>El Coordinador del GIT de Relacionamiento con la Ciudadanía</t>
  </si>
  <si>
    <t>El Coordinador de comunicaciones</t>
  </si>
  <si>
    <t>diseña e implementa estrategias de comunicación interna para promover los valores institucionales de acuerdo a lo establecido en el codigo de integridad de los funcionarios de la SES.</t>
  </si>
  <si>
    <t>Gestionar estrategias, lineamiento y planes en materia de relacionamiento con la ciudadanía, a través de acciones encaminadas a mejorar el servicio al ciudadano, transparencia y acceso a la información pública, simplificación y racionalización de trámites y participación ciudadana con el fin de fortalecer el posicionamiento, la gestión y desempeño institucional y la generación de confianza en los grupos de valor de interés.</t>
  </si>
  <si>
    <t>9 de diciembre de 2025</t>
  </si>
  <si>
    <t>Se realiza la actualización de los riesgos del proceso PLES, conforme a los lineamientos y al riesgo emitido por Función Pública, incluyendo la definición del impacto, la causa inmediata y la causa raíz, de acuerdo con lo establecido en la versión 7 de la Guía para la Administración</t>
  </si>
  <si>
    <t>por insatisfacción de los grupos de valor</t>
  </si>
  <si>
    <t>insatisfacción de los grupos de valor y/o sanciones de entes de control</t>
  </si>
  <si>
    <t>incumplimiento de los términos de ley para la gestión de solicitudes.</t>
  </si>
  <si>
    <t>falta de comunicación y credibilidad en la SES</t>
  </si>
  <si>
    <t>la publicación de información emitida sin la correcta divulgación al interior de la entidad.</t>
  </si>
  <si>
    <t>solicitar o recibir dádivas para adelantar trámites ante la Supersolidaria</t>
  </si>
  <si>
    <t>desconocimiento de los servicios dispuestos por la SES por parte de las entidades de economía solidaria, asociados y ciudadanía en general en la solicitud de trámites.</t>
  </si>
  <si>
    <t>falta de interiorización de los valores institucionales señalados en el Código de Integridad por parte de los servidores de la entidad</t>
  </si>
  <si>
    <t>desconocimiento y/o falta de apropiación de la politica de conflictos de interés de la SES lo que podria generar recibir beneficios particulares o para un tercero por suministrar a traves de los canales de atención y comunicación de la SES información especifica de alguna organización solidaria vigilada o sus asociados.</t>
  </si>
  <si>
    <t>recibir un beneficio particular o para un tercero</t>
  </si>
  <si>
    <t>suministrar a través de los canales de atención y comunicación de la SES información especifica de alguna organización solidaria vigilada o sus asociados.</t>
  </si>
  <si>
    <t>El Profesional Universitario del GIT de Relacionamiento con la Ciudadanía</t>
  </si>
  <si>
    <t>diseña e implementa la estrategia de servicio al ciudadano</t>
  </si>
  <si>
    <t>Esto se realiza de manera mensual
 Evidencia: Reporte mensual del plan de acción de la Estrategia de servicio al Ciudadano</t>
  </si>
  <si>
    <t>socializa trimestralmente la política de relacionamiento con el ciudadano - MIPG a través de jornadas de capacitación en torno a los lineamientos internos de la entidad y la normatividad vigente.</t>
  </si>
  <si>
    <t>Esto se realiza de manera trimestral
 Evidencia: Listados de asistencia, diapositivas y acta de reunión frente a la socialización establecida.</t>
  </si>
  <si>
    <t>El Profesional Universitario del Grupo Interno de Trabajo de Relacionamiento con la Ciudadanía</t>
  </si>
  <si>
    <t>Realiza el seguimiento a la gestión de las PQRSDF, consolida la información correspondiente, elabora el reporte de seguimiento y genera alertas a las dependencias competentes cuando identifica solicitudes próximas al vencimiento de los términos legales o situaciones que requieran atención.</t>
  </si>
  <si>
    <t>Esto se realiza de manera mensual
 Como evidencias quedan: el reporte mensual de seguimiento a las PQRSDF, la matriz de escalonamiento  y las comunicaciones o alertas remitidas a las dependencias competentes.</t>
  </si>
  <si>
    <t>El Profesional Especializado del GIT de Relacionamiento con la Ciudadanía</t>
  </si>
  <si>
    <t>Esto se realiza de manera semanal
 Evidencia: Informe consolidado de matríz de escalonamiento mensual.</t>
  </si>
  <si>
    <t>El/La profesional especializado(a) de comunicaciones,</t>
  </si>
  <si>
    <t xml:space="preserve">periódicamente realiza seguimiento a los requerimientos de las áreas a través de los formatos: control de cambios página web y control de cambios intranet; además de los que él/ella misma defina, según los nuevos lineamientos para el grupo interno de trabajo. </t>
  </si>
  <si>
    <t>Como evidencia quedarán los formatos diligenciados.</t>
  </si>
  <si>
    <t>Se realiza cada siempre que sea requerido 
 Evidencia: Solicitud realizada a Talento humano del protocolo de SST.</t>
  </si>
  <si>
    <t>Realiza la socialización de los trámites y servicios de la SES a los servidores de la Entidad.</t>
  </si>
  <si>
    <t>Esto se realiza de manera Trimestral
 Evidencia: Listados de asistencia, diapositivas, actas de reunión</t>
  </si>
  <si>
    <t>realiza dos actividades audiovisuales de fomento a la transparencia y la lucha contra la corrupción en donde se divulgue a la ciudadanía las consecuencias de identificar faltas a la honestidad y a la ética del servidor público en la SES.</t>
  </si>
  <si>
    <t>Esto se realiza de manera Semestral
 Evidencia: Material audiovisual, link de publicación web.</t>
  </si>
  <si>
    <t>Esto se realiza de manera mensual
 Evidencia: Piezas gráficas diseñadas.</t>
  </si>
  <si>
    <t>ejecutar el cronograma de la estrategia de comunicaciones para el PTEP</t>
  </si>
  <si>
    <t>Esto se realiza de manera mensual
 Evidencia: Pieza gráfica o audiovisual diseñada.</t>
  </si>
  <si>
    <t>Se actualiza el control del riesgo GEGI_R2_C1 modificando la acción y la evidencia de la ejecución del mismo.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</si>
</sst>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0"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9"/>
      <color indexed="81"/>
      <name val="Tahoma"/>
      <charset val="1"/>
    </font>
    <font>
      <b/>
      <sz val="9"/>
      <color indexed="81"/>
      <name val="Tahoma"/>
      <charset val="1"/>
    </font>
    <font>
      <sz val="11"/>
      <color theme="1"/>
      <name val="Arial"/>
      <family val="2"/>
    </font>
    <font>
      <sz val="11"/>
      <color rgb="FF000000"/>
      <name val="Calibri"/>
      <family val="2"/>
    </font>
    <font>
      <sz val="11"/>
      <color theme="1"/>
      <name val="Tahoma"/>
      <family val="2"/>
    </font>
  </fonts>
  <fills count="22">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theme="8" tint="0.59999389629810485"/>
        <bgColor indexed="64"/>
      </patternFill>
    </fill>
    <fill>
      <patternFill patternType="solid">
        <fgColor rgb="FFFDE9D9"/>
        <bgColor rgb="FFFDE9D9"/>
      </patternFill>
    </fill>
  </fills>
  <borders count="8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84">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8"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4" borderId="1" xfId="0" applyFont="1" applyFill="1" applyBorder="1" applyAlignment="1">
      <alignment horizontal="left" vertical="center" wrapText="1"/>
    </xf>
    <xf numFmtId="0" fontId="2" fillId="3" borderId="1" xfId="2" applyFont="1" applyFill="1" applyBorder="1" applyAlignment="1" applyProtection="1">
      <alignment horizontal="justify" vertical="center" wrapText="1"/>
      <protection locked="0"/>
    </xf>
    <xf numFmtId="0" fontId="57" fillId="21" borderId="81" xfId="0" applyFont="1" applyFill="1" applyBorder="1" applyAlignment="1">
      <alignment horizontal="left" vertical="center" wrapText="1"/>
    </xf>
    <xf numFmtId="3" fontId="57" fillId="21" borderId="81" xfId="0" applyNumberFormat="1" applyFont="1" applyFill="1" applyBorder="1" applyAlignment="1">
      <alignment horizontal="left" vertical="center" wrapText="1"/>
    </xf>
    <xf numFmtId="0" fontId="57" fillId="21" borderId="82" xfId="0" applyFont="1" applyFill="1" applyBorder="1" applyAlignment="1">
      <alignment horizontal="left" vertical="center" wrapText="1"/>
    </xf>
    <xf numFmtId="0" fontId="58" fillId="21" borderId="81" xfId="0" applyFont="1" applyFill="1" applyBorder="1" applyAlignment="1">
      <alignment horizontal="left" vertical="center" wrapText="1"/>
    </xf>
    <xf numFmtId="0" fontId="58" fillId="21" borderId="82" xfId="0" applyFont="1" applyFill="1" applyBorder="1" applyAlignment="1">
      <alignment horizontal="left" vertical="center" wrapText="1"/>
    </xf>
    <xf numFmtId="0" fontId="59" fillId="21" borderId="81" xfId="0" applyFont="1" applyFill="1" applyBorder="1" applyAlignment="1">
      <alignment horizontal="left"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5" fillId="20" borderId="8" xfId="2" applyFont="1" applyFill="1" applyBorder="1" applyAlignment="1">
      <alignment horizontal="center" vertical="center" wrapText="1"/>
    </xf>
    <xf numFmtId="0" fontId="5" fillId="20" borderId="10" xfId="2" applyFont="1" applyFill="1" applyBorder="1" applyAlignment="1">
      <alignment horizontal="center" vertical="center" wrapText="1"/>
    </xf>
    <xf numFmtId="0" fontId="5" fillId="20" borderId="19" xfId="2" applyFont="1" applyFill="1" applyBorder="1" applyAlignment="1">
      <alignment horizontal="center" vertical="center" wrapText="1"/>
    </xf>
    <xf numFmtId="0" fontId="12" fillId="0" borderId="8" xfId="2" applyFont="1" applyBorder="1" applyAlignment="1">
      <alignment horizontal="center" vertical="center" wrapText="1"/>
    </xf>
    <xf numFmtId="0" fontId="12" fillId="0" borderId="19" xfId="2" applyFont="1" applyBorder="1" applyAlignment="1">
      <alignment horizontal="center" vertical="center" wrapText="1"/>
    </xf>
    <xf numFmtId="0" fontId="6" fillId="0" borderId="8" xfId="2" applyFont="1" applyBorder="1" applyAlignment="1">
      <alignment horizontal="left" vertical="center" wrapText="1"/>
    </xf>
    <xf numFmtId="0" fontId="6" fillId="0" borderId="10" xfId="2" applyFont="1" applyBorder="1" applyAlignment="1">
      <alignment horizontal="left" vertical="center" wrapText="1"/>
    </xf>
    <xf numFmtId="0" fontId="6" fillId="0" borderId="19" xfId="2" applyFont="1" applyBorder="1" applyAlignment="1">
      <alignment horizontal="left"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2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4" xfId="2" applyFont="1" applyBorder="1" applyAlignment="1">
      <alignment horizontal="left" vertical="center" wrapText="1"/>
    </xf>
    <xf numFmtId="0" fontId="6" fillId="0" borderId="1" xfId="2" applyFont="1" applyBorder="1" applyAlignment="1">
      <alignment horizontal="left" vertical="center" wrapText="1"/>
    </xf>
    <xf numFmtId="0" fontId="6" fillId="0" borderId="28" xfId="2" applyFont="1" applyBorder="1" applyAlignment="1">
      <alignment horizontal="left" vertical="center" wrapText="1"/>
    </xf>
    <xf numFmtId="0" fontId="6" fillId="0" borderId="77" xfId="2" applyFont="1" applyBorder="1" applyAlignment="1">
      <alignment horizontal="left" vertical="center" wrapText="1"/>
    </xf>
    <xf numFmtId="0" fontId="6" fillId="0" borderId="7" xfId="2" applyFont="1" applyBorder="1" applyAlignment="1">
      <alignment horizontal="left" vertical="center" wrapText="1"/>
    </xf>
    <xf numFmtId="0" fontId="6" fillId="0" borderId="79" xfId="2" applyFont="1" applyBorder="1" applyAlignment="1">
      <alignment horizontal="left"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79"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2" fillId="0" borderId="5" xfId="2" applyBorder="1" applyAlignment="1">
      <alignment horizontal="center" vertical="center" wrapText="1"/>
    </xf>
    <xf numFmtId="0" fontId="2" fillId="0" borderId="4" xfId="2" applyBorder="1" applyAlignment="1">
      <alignment horizontal="center" vertical="center" wrapText="1"/>
    </xf>
    <xf numFmtId="9" fontId="22" fillId="0" borderId="5" xfId="0" applyNumberFormat="1" applyFont="1" applyBorder="1" applyAlignment="1">
      <alignment horizontal="center" vertical="center" wrapText="1"/>
    </xf>
    <xf numFmtId="0" fontId="2" fillId="3" borderId="5" xfId="2" applyFill="1" applyBorder="1" applyAlignment="1" applyProtection="1">
      <alignment horizontal="center" vertical="center" wrapText="1"/>
      <protection locked="0"/>
    </xf>
    <xf numFmtId="0" fontId="2" fillId="3" borderId="4" xfId="2" applyFill="1" applyBorder="1" applyAlignment="1" applyProtection="1">
      <alignment horizontal="center" vertical="center" wrapText="1"/>
      <protection locked="0"/>
    </xf>
    <xf numFmtId="9" fontId="2" fillId="0" borderId="5" xfId="2" applyNumberFormat="1" applyBorder="1" applyAlignment="1">
      <alignment horizontal="center" vertical="center" wrapText="1"/>
    </xf>
    <xf numFmtId="9" fontId="2" fillId="0" borderId="4" xfId="2" applyNumberFormat="1" applyBorder="1" applyAlignment="1">
      <alignment horizontal="center" vertical="center" wrapText="1"/>
    </xf>
    <xf numFmtId="0" fontId="2" fillId="0" borderId="80" xfId="2" applyBorder="1" applyAlignment="1">
      <alignment horizontal="center" vertical="center" wrapText="1"/>
    </xf>
    <xf numFmtId="0" fontId="2" fillId="0" borderId="24" xfId="2" applyBorder="1" applyAlignment="1">
      <alignment horizontal="center" vertical="center" wrapText="1"/>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7">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patternType="solid">
          <fgColor rgb="FFFF0000"/>
          <bgColor rgb="FFFF0000"/>
        </patternFill>
      </fill>
    </dxf>
    <dxf>
      <fill>
        <patternFill patternType="solid">
          <fgColor rgb="FFFFC000"/>
          <bgColor rgb="FFFFC000"/>
        </patternFill>
      </fill>
    </dxf>
    <dxf>
      <fill>
        <patternFill patternType="solid">
          <fgColor rgb="FFFFFF00"/>
          <bgColor rgb="FFFFFF00"/>
        </patternFill>
      </fill>
    </dxf>
    <dxf>
      <fill>
        <patternFill patternType="solid">
          <fgColor rgb="FF00B050"/>
          <bgColor rgb="FF00B050"/>
        </patternFill>
      </fill>
    </dxf>
    <dxf>
      <fill>
        <patternFill patternType="solid">
          <fgColor rgb="FF92D050"/>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41460</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13</xdr:row>
      <xdr:rowOff>452620</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5</xdr:col>
      <xdr:colOff>54429</xdr:colOff>
      <xdr:row>49</xdr:row>
      <xdr:rowOff>303439</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5483679" y="318175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571500</xdr:colOff>
      <xdr:row>53</xdr:row>
      <xdr:rowOff>112940</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558393" y="3383144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27214</xdr:colOff>
      <xdr:row>54</xdr:row>
      <xdr:rowOff>221796</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776107" y="343076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612321</xdr:colOff>
      <xdr:row>53</xdr:row>
      <xdr:rowOff>4082</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599214" y="337225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25</xdr:col>
      <xdr:colOff>0</xdr:colOff>
      <xdr:row>1048576</xdr:row>
      <xdr:rowOff>2224647</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25</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nidades%20compartidas\1SA_2025\GESTION%202025\Mapas%20de%20Riesgos%20Tecnologia\MATRICES%20ACTUALIZADAS\Formato_mapa_riesgos_integral%20GEG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VO"/>
      <sheetName val="2 CONTEXTO E IDENTIFICACIÓN"/>
      <sheetName val="11 FORMULAS"/>
      <sheetName val="3 PROBABIL E IMPACTO INHERENTE"/>
      <sheetName val="4 MAPA CALOR INHERENTE"/>
      <sheetName val="5 VALORACIÓN DEL CONTROL"/>
      <sheetName val="6 MAPA CALOR RESIDUAL"/>
      <sheetName val="7 MAPA CALOR INHEREN Y RESIDUAL"/>
      <sheetName val="8 MAPA RIESGOS"/>
      <sheetName val="9 RIESGO DEL PROCESO"/>
      <sheetName val="10 CONTROL DE CAMBIOS"/>
      <sheetName val="Formato_mapa_riesgos_integral G"/>
    </sheetNames>
    <sheetDataSet>
      <sheetData sheetId="0"/>
      <sheetData sheetId="1"/>
      <sheetData sheetId="2">
        <row r="4">
          <cell r="B4" t="str">
            <v>A_Ejecución_y_Administración_de_procesos</v>
          </cell>
          <cell r="C4" t="str">
            <v>Procesos</v>
          </cell>
        </row>
        <row r="6">
          <cell r="B6" t="str">
            <v>B_Fraude_Externo</v>
          </cell>
          <cell r="C6" t="str">
            <v>Evento_Externo</v>
          </cell>
        </row>
        <row r="8">
          <cell r="B8" t="str">
            <v>C_Fraude_Interno</v>
          </cell>
          <cell r="C8" t="str">
            <v>Talento_Humano</v>
          </cell>
        </row>
        <row r="10">
          <cell r="B10" t="str">
            <v>D_Fallas_Tecnológicas</v>
          </cell>
          <cell r="C10" t="str">
            <v>Tecnologías</v>
          </cell>
        </row>
      </sheetData>
      <sheetData sheetId="3"/>
      <sheetData sheetId="4"/>
      <sheetData sheetId="5"/>
      <sheetData sheetId="6"/>
      <sheetData sheetId="7"/>
      <sheetData sheetId="8"/>
      <sheetData sheetId="9"/>
      <sheetData sheetId="10"/>
      <sheetData sheetId="1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46" dataDxfId="145">
  <autoFilter ref="A31:E35" xr:uid="{00000000-0009-0000-0100-000006000000}"/>
  <tableColumns count="5">
    <tableColumn id="1" xr3:uid="{00000000-0010-0000-0100-000001000000}" name="Gestión" dataDxfId="144"/>
    <tableColumn id="2" xr3:uid="{00000000-0010-0000-0100-000002000000}" name="Fiscal" dataDxfId="143"/>
    <tableColumn id="3" xr3:uid="{00000000-0010-0000-0100-000003000000}" name="Seguridad_Información" dataDxfId="142"/>
    <tableColumn id="4" xr3:uid="{00000000-0010-0000-0100-000004000000}" name="Integridad_Pública_Corrupción" dataDxfId="141"/>
    <tableColumn id="5" xr3:uid="{00000000-0010-0000-0100-000005000000}" name="Integridad_Pública_LA_FT_FP" dataDxfId="140"/>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9" dataDxfId="138">
  <autoFilter ref="A38:F47" xr:uid="{00000000-0009-0000-0100-000002000000}"/>
  <tableColumns count="6">
    <tableColumn id="1" xr3:uid="{00000000-0010-0000-0200-000001000000}" name="Ejecución_administración_de_procesos" dataDxfId="137"/>
    <tableColumn id="2" xr3:uid="{00000000-0010-0000-0200-000002000000}" name="Transacción_u_Operación_aplica_para_LA_FT_FP" dataDxfId="136"/>
    <tableColumn id="3" xr3:uid="{00000000-0010-0000-0200-000003000000}" name="Talento_Humano" dataDxfId="135"/>
    <tableColumn id="4" xr3:uid="{00000000-0010-0000-0200-000004000000}" name="Tecnología" dataDxfId="134"/>
    <tableColumn id="5" xr3:uid="{00000000-0010-0000-0200-000005000000}" name="Infraestructura" dataDxfId="133"/>
    <tableColumn id="6" xr3:uid="{00000000-0010-0000-0200-000006000000}" name="Evento_externo" dataDxfId="132"/>
  </tableColumns>
  <tableStyleInfo name="TableStyleLight1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31" dataDxfId="130">
  <autoFilter ref="H37:I43" xr:uid="{00000000-0009-0000-0100-000003000000}"/>
  <tableColumns count="2">
    <tableColumn id="1" xr3:uid="{00000000-0010-0000-0300-000001000000}" name="FACTOR DE RIESGO" dataDxfId="129"/>
    <tableColumn id="2" xr3:uid="{00000000-0010-0000-0300-000002000000}" name="Descripción" dataDxfId="128"/>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5" totalsRowShown="0" headerRowDxfId="127" tableBorderDxfId="126" headerRowCellStyle="Normal 2">
  <autoFilter ref="F8:K25" xr:uid="{00000000-0009-0000-0100-000001000000}"/>
  <tableColumns count="6">
    <tableColumn id="2" xr3:uid="{00000000-0010-0000-0000-000002000000}" name="TIPOLOGÍA" dataDxfId="125" dataCellStyle="Normal 2"/>
    <tableColumn id="3" xr3:uid="{00000000-0010-0000-0000-000003000000}" name="¿QUÉ? _x000a_IMPACTO" dataDxfId="124" dataCellStyle="Normal 2"/>
    <tableColumn id="4" xr3:uid="{00000000-0010-0000-0000-000004000000}" name="¿CÓMO?_x000a_CAUSA INMEDIATA _x000a_(Iniciar con la palabra _x000a_por)" dataDxfId="123" dataCellStyle="Normal 2"/>
    <tableColumn id="5" xr3:uid="{00000000-0010-0000-0000-000005000000}" name="¿PORQUÉ?_x000a_CAUSA RAÍZ_x000a_(Iniciar con _x000a_debido a/a causa de)" dataDxfId="122" dataCellStyle="Normal 2"/>
    <tableColumn id="6" xr3:uid="{00000000-0010-0000-0000-000006000000}" name="DESCRIPCIÓN DEL RIESGO" dataDxfId="121">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20" dataCellStyle="Normal 2"/>
  </tableColumns>
  <tableStyleInfo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4" Type="http://schemas.openxmlformats.org/officeDocument/2006/relationships/table" Target="../tables/table3.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zoomScale="90" zoomScaleNormal="90" workbookViewId="0">
      <selection activeCell="D18" sqref="D18"/>
    </sheetView>
  </sheetViews>
  <sheetFormatPr baseColWidth="10" defaultColWidth="0" defaultRowHeight="15" zeroHeight="1" x14ac:dyDescent="0.25"/>
  <cols>
    <col min="1" max="1" width="2.85546875" style="260" customWidth="1"/>
    <col min="2" max="3" width="24.42578125" style="260" customWidth="1"/>
    <col min="4" max="4" width="16" style="260" customWidth="1"/>
    <col min="5" max="5" width="24.42578125" style="260" customWidth="1"/>
    <col min="6" max="6" width="27.42578125" style="260" customWidth="1"/>
    <col min="7" max="8" width="24.42578125" style="260" customWidth="1"/>
    <col min="9" max="9" width="4.28515625" style="260" customWidth="1"/>
    <col min="10" max="16384" width="11.42578125" style="260" hidden="1"/>
  </cols>
  <sheetData>
    <row r="1" spans="2:8" ht="15.75" thickBot="1" x14ac:dyDescent="0.3"/>
    <row r="2" spans="2:8" ht="18" x14ac:dyDescent="0.25">
      <c r="B2" s="405" t="s">
        <v>0</v>
      </c>
      <c r="C2" s="406"/>
      <c r="D2" s="406"/>
      <c r="E2" s="406"/>
      <c r="F2" s="406"/>
      <c r="G2" s="406"/>
      <c r="H2" s="407"/>
    </row>
    <row r="3" spans="2:8" x14ac:dyDescent="0.25">
      <c r="B3" s="261"/>
      <c r="C3" s="262"/>
      <c r="D3" s="262"/>
      <c r="E3" s="262"/>
      <c r="F3" s="262"/>
      <c r="G3" s="262"/>
      <c r="H3" s="263"/>
    </row>
    <row r="4" spans="2:8" ht="63" customHeight="1" x14ac:dyDescent="0.25">
      <c r="B4" s="408" t="s">
        <v>1</v>
      </c>
      <c r="C4" s="409"/>
      <c r="D4" s="409"/>
      <c r="E4" s="409"/>
      <c r="F4" s="409"/>
      <c r="G4" s="409"/>
      <c r="H4" s="410"/>
    </row>
    <row r="5" spans="2:8" ht="63" customHeight="1" x14ac:dyDescent="0.25">
      <c r="B5" s="411"/>
      <c r="C5" s="412"/>
      <c r="D5" s="412"/>
      <c r="E5" s="412"/>
      <c r="F5" s="412"/>
      <c r="G5" s="412"/>
      <c r="H5" s="413"/>
    </row>
    <row r="6" spans="2:8" ht="16.5" x14ac:dyDescent="0.25">
      <c r="B6" s="398" t="s">
        <v>2</v>
      </c>
      <c r="C6" s="414"/>
      <c r="D6" s="414"/>
      <c r="E6" s="414"/>
      <c r="F6" s="414"/>
      <c r="G6" s="414"/>
      <c r="H6" s="415"/>
    </row>
    <row r="7" spans="2:8" ht="95.25" customHeight="1" x14ac:dyDescent="0.25">
      <c r="B7" s="416" t="s">
        <v>3</v>
      </c>
      <c r="C7" s="417"/>
      <c r="D7" s="417"/>
      <c r="E7" s="417"/>
      <c r="F7" s="417"/>
      <c r="G7" s="417"/>
      <c r="H7" s="418"/>
    </row>
    <row r="8" spans="2:8" ht="16.5" x14ac:dyDescent="0.25">
      <c r="B8" s="240"/>
      <c r="C8" s="241"/>
      <c r="D8" s="241"/>
      <c r="E8" s="241"/>
      <c r="F8" s="241"/>
      <c r="G8" s="241"/>
      <c r="H8" s="242"/>
    </row>
    <row r="9" spans="2:8" ht="20.45" customHeight="1" x14ac:dyDescent="0.25">
      <c r="B9" s="420" t="s">
        <v>4</v>
      </c>
      <c r="C9" s="421"/>
      <c r="D9" s="421"/>
      <c r="E9" s="421"/>
      <c r="F9" s="421"/>
      <c r="G9" s="421"/>
      <c r="H9" s="422"/>
    </row>
    <row r="10" spans="2:8" ht="16.5" x14ac:dyDescent="0.25">
      <c r="B10" s="246"/>
      <c r="C10" s="247"/>
      <c r="D10" s="247"/>
      <c r="E10" s="247"/>
      <c r="F10" s="247"/>
      <c r="G10" s="247"/>
      <c r="H10" s="248"/>
    </row>
    <row r="11" spans="2:8" ht="20.45" customHeight="1" x14ac:dyDescent="0.25">
      <c r="B11" s="423" t="s">
        <v>5</v>
      </c>
      <c r="C11" s="424"/>
      <c r="D11" s="424"/>
      <c r="E11" s="424"/>
      <c r="F11" s="424"/>
      <c r="G11" s="424"/>
      <c r="H11" s="425"/>
    </row>
    <row r="12" spans="2:8" s="282" customFormat="1" ht="20.45" customHeight="1" x14ac:dyDescent="0.25">
      <c r="B12" s="364"/>
      <c r="C12" s="365"/>
      <c r="D12" s="365"/>
      <c r="E12" s="365"/>
      <c r="F12" s="365"/>
      <c r="G12" s="365"/>
      <c r="H12" s="366"/>
    </row>
    <row r="13" spans="2:8" ht="20.45" customHeight="1" x14ac:dyDescent="0.25">
      <c r="B13" s="398" t="s">
        <v>6</v>
      </c>
      <c r="C13" s="399"/>
      <c r="D13" s="399"/>
      <c r="E13" s="399"/>
      <c r="F13" s="399"/>
      <c r="G13" s="399"/>
      <c r="H13" s="400"/>
    </row>
    <row r="14" spans="2:8" ht="9" customHeight="1" x14ac:dyDescent="0.25">
      <c r="B14" s="398"/>
      <c r="C14" s="399"/>
      <c r="D14" s="399"/>
      <c r="E14" s="399"/>
      <c r="F14" s="399"/>
      <c r="G14" s="399"/>
      <c r="H14" s="400"/>
    </row>
    <row r="15" spans="2:8" ht="16.5" x14ac:dyDescent="0.25">
      <c r="B15" s="398" t="s">
        <v>7</v>
      </c>
      <c r="C15" s="399"/>
      <c r="D15" s="399"/>
      <c r="E15" s="399"/>
      <c r="F15" s="399"/>
      <c r="G15" s="399"/>
      <c r="H15" s="400"/>
    </row>
    <row r="16" spans="2:8" ht="16.5" x14ac:dyDescent="0.25">
      <c r="B16" s="243"/>
      <c r="C16" s="244"/>
      <c r="D16" s="244"/>
      <c r="E16" s="244"/>
      <c r="F16" s="244"/>
      <c r="G16" s="244"/>
      <c r="H16" s="245"/>
    </row>
    <row r="17" spans="2:8" ht="18.75" customHeight="1" x14ac:dyDescent="0.25">
      <c r="B17" s="398" t="s">
        <v>8</v>
      </c>
      <c r="C17" s="399"/>
      <c r="D17" s="399"/>
      <c r="E17" s="399"/>
      <c r="F17" s="399"/>
      <c r="G17" s="399"/>
      <c r="H17" s="400"/>
    </row>
    <row r="18" spans="2:8" ht="18.75" customHeight="1" x14ac:dyDescent="0.25">
      <c r="B18" s="243"/>
      <c r="C18" s="244"/>
      <c r="D18" s="244"/>
      <c r="E18" s="244"/>
      <c r="F18" s="244"/>
      <c r="G18" s="244"/>
      <c r="H18" s="245"/>
    </row>
    <row r="19" spans="2:8" ht="18.75" customHeight="1" x14ac:dyDescent="0.25">
      <c r="B19" s="398" t="s">
        <v>9</v>
      </c>
      <c r="C19" s="399"/>
      <c r="D19" s="399"/>
      <c r="E19" s="399"/>
      <c r="F19" s="399"/>
      <c r="G19" s="399"/>
      <c r="H19" s="400"/>
    </row>
    <row r="20" spans="2:8" ht="18.75" customHeight="1" thickBot="1" x14ac:dyDescent="0.3">
      <c r="B20" s="190"/>
      <c r="C20" s="249"/>
      <c r="D20" s="249"/>
      <c r="E20" s="249"/>
      <c r="F20" s="249"/>
      <c r="G20" s="249"/>
      <c r="H20" s="250"/>
    </row>
    <row r="21" spans="2:8" ht="15.75" thickTop="1" x14ac:dyDescent="0.25">
      <c r="B21" s="264"/>
      <c r="C21" s="390" t="s">
        <v>10</v>
      </c>
      <c r="D21" s="391"/>
      <c r="E21" s="392" t="s">
        <v>11</v>
      </c>
      <c r="F21" s="393"/>
      <c r="G21" s="269"/>
      <c r="H21" s="265"/>
    </row>
    <row r="22" spans="2:8" ht="35.25" customHeight="1" x14ac:dyDescent="0.25">
      <c r="B22" s="264"/>
      <c r="C22" s="394" t="s">
        <v>12</v>
      </c>
      <c r="D22" s="380"/>
      <c r="E22" s="381" t="s">
        <v>13</v>
      </c>
      <c r="F22" s="382"/>
      <c r="G22" s="269"/>
      <c r="H22" s="265"/>
    </row>
    <row r="23" spans="2:8" ht="17.25" customHeight="1" x14ac:dyDescent="0.25">
      <c r="B23" s="264"/>
      <c r="C23" s="394" t="s">
        <v>14</v>
      </c>
      <c r="D23" s="380"/>
      <c r="E23" s="381" t="s">
        <v>15</v>
      </c>
      <c r="F23" s="382"/>
      <c r="G23" s="269"/>
      <c r="H23" s="265"/>
    </row>
    <row r="24" spans="2:8" ht="69.75" customHeight="1" x14ac:dyDescent="0.25">
      <c r="B24" s="264"/>
      <c r="C24" s="394" t="s">
        <v>16</v>
      </c>
      <c r="D24" s="380"/>
      <c r="E24" s="381" t="s">
        <v>17</v>
      </c>
      <c r="F24" s="382"/>
      <c r="G24" s="269"/>
      <c r="H24" s="265"/>
    </row>
    <row r="25" spans="2:8" ht="69.75" customHeight="1" x14ac:dyDescent="0.25">
      <c r="B25" s="264"/>
      <c r="C25" s="394" t="s">
        <v>18</v>
      </c>
      <c r="D25" s="380"/>
      <c r="E25" s="381" t="s">
        <v>19</v>
      </c>
      <c r="F25" s="382"/>
      <c r="G25" s="269"/>
      <c r="H25" s="265"/>
    </row>
    <row r="26" spans="2:8" ht="69.75" customHeight="1" x14ac:dyDescent="0.25">
      <c r="B26" s="264"/>
      <c r="C26" s="394" t="s">
        <v>20</v>
      </c>
      <c r="D26" s="380"/>
      <c r="E26" s="381" t="s">
        <v>21</v>
      </c>
      <c r="F26" s="382"/>
      <c r="G26" s="269"/>
      <c r="H26" s="265"/>
    </row>
    <row r="27" spans="2:8" ht="69.75" customHeight="1" x14ac:dyDescent="0.25">
      <c r="B27" s="264"/>
      <c r="C27" s="386" t="s">
        <v>22</v>
      </c>
      <c r="D27" s="378"/>
      <c r="E27" s="371" t="s">
        <v>23</v>
      </c>
      <c r="F27" s="372"/>
      <c r="G27" s="269"/>
      <c r="H27" s="265"/>
    </row>
    <row r="28" spans="2:8" ht="69.75" customHeight="1" x14ac:dyDescent="0.25">
      <c r="B28" s="264"/>
      <c r="C28" s="386" t="s">
        <v>24</v>
      </c>
      <c r="D28" s="378"/>
      <c r="E28" s="371" t="s">
        <v>25</v>
      </c>
      <c r="F28" s="372"/>
      <c r="G28" s="269"/>
      <c r="H28" s="265"/>
    </row>
    <row r="29" spans="2:8" ht="69.75" customHeight="1" x14ac:dyDescent="0.25">
      <c r="B29" s="264"/>
      <c r="C29" s="386" t="s">
        <v>26</v>
      </c>
      <c r="D29" s="378"/>
      <c r="E29" s="371" t="s">
        <v>27</v>
      </c>
      <c r="F29" s="372"/>
      <c r="G29" s="269"/>
      <c r="H29" s="265"/>
    </row>
    <row r="30" spans="2:8" ht="111.75" customHeight="1" x14ac:dyDescent="0.25">
      <c r="B30" s="264"/>
      <c r="C30" s="386" t="s">
        <v>28</v>
      </c>
      <c r="D30" s="378"/>
      <c r="E30" s="371" t="s">
        <v>29</v>
      </c>
      <c r="F30" s="372"/>
      <c r="G30" s="269"/>
      <c r="H30" s="265"/>
    </row>
    <row r="31" spans="2:8" ht="121.5" customHeight="1" x14ac:dyDescent="0.25">
      <c r="B31" s="264"/>
      <c r="C31" s="386" t="s">
        <v>30</v>
      </c>
      <c r="D31" s="378"/>
      <c r="E31" s="371" t="s">
        <v>31</v>
      </c>
      <c r="F31" s="372"/>
      <c r="G31" s="269"/>
      <c r="H31" s="265"/>
    </row>
    <row r="32" spans="2:8" ht="86.25" customHeight="1" x14ac:dyDescent="0.25">
      <c r="B32" s="264"/>
      <c r="C32" s="386" t="s">
        <v>32</v>
      </c>
      <c r="D32" s="378"/>
      <c r="E32" s="371" t="s">
        <v>33</v>
      </c>
      <c r="F32" s="372"/>
      <c r="G32" s="269"/>
      <c r="H32" s="265"/>
    </row>
    <row r="33" spans="2:8" ht="69.75" customHeight="1" x14ac:dyDescent="0.25">
      <c r="B33" s="264"/>
      <c r="C33" s="386" t="s">
        <v>34</v>
      </c>
      <c r="D33" s="378"/>
      <c r="E33" s="371" t="s">
        <v>35</v>
      </c>
      <c r="F33" s="372"/>
      <c r="G33" s="269"/>
      <c r="H33" s="265"/>
    </row>
    <row r="34" spans="2:8" x14ac:dyDescent="0.25">
      <c r="B34" s="264"/>
      <c r="C34" s="254"/>
      <c r="D34" s="254"/>
      <c r="E34" s="255"/>
      <c r="F34" s="255"/>
      <c r="G34" s="269"/>
      <c r="H34" s="265"/>
    </row>
    <row r="35" spans="2:8" ht="16.5" x14ac:dyDescent="0.25">
      <c r="B35" s="398" t="s">
        <v>36</v>
      </c>
      <c r="C35" s="399"/>
      <c r="D35" s="399"/>
      <c r="E35" s="399"/>
      <c r="F35" s="399"/>
      <c r="G35" s="399"/>
      <c r="H35" s="400"/>
    </row>
    <row r="36" spans="2:8" ht="14.45" customHeight="1" thickBot="1" x14ac:dyDescent="0.3">
      <c r="B36" s="270"/>
      <c r="C36" s="259"/>
      <c r="D36" s="259"/>
      <c r="E36" s="259"/>
      <c r="F36" s="259"/>
      <c r="G36" s="259"/>
      <c r="H36" s="271"/>
    </row>
    <row r="37" spans="2:8" ht="14.45" customHeight="1" thickTop="1" x14ac:dyDescent="0.25">
      <c r="B37" s="270"/>
      <c r="C37" s="373" t="s">
        <v>10</v>
      </c>
      <c r="D37" s="374"/>
      <c r="E37" s="375" t="s">
        <v>11</v>
      </c>
      <c r="F37" s="376"/>
      <c r="G37" s="259"/>
      <c r="H37" s="271"/>
    </row>
    <row r="38" spans="2:8" ht="90" customHeight="1" x14ac:dyDescent="0.25">
      <c r="B38" s="270"/>
      <c r="C38" s="386" t="s">
        <v>37</v>
      </c>
      <c r="D38" s="378"/>
      <c r="E38" s="371" t="s">
        <v>38</v>
      </c>
      <c r="F38" s="372"/>
      <c r="G38" s="259"/>
      <c r="H38" s="271"/>
    </row>
    <row r="39" spans="2:8" ht="53.45" customHeight="1" x14ac:dyDescent="0.25">
      <c r="B39" s="270"/>
      <c r="C39" s="386" t="s">
        <v>39</v>
      </c>
      <c r="D39" s="378"/>
      <c r="E39" s="371" t="s">
        <v>40</v>
      </c>
      <c r="F39" s="372"/>
      <c r="G39" s="259"/>
      <c r="H39" s="271"/>
    </row>
    <row r="40" spans="2:8" ht="54" customHeight="1" x14ac:dyDescent="0.25">
      <c r="B40" s="270"/>
      <c r="C40" s="386" t="s">
        <v>41</v>
      </c>
      <c r="D40" s="378"/>
      <c r="E40" s="371" t="s">
        <v>42</v>
      </c>
      <c r="F40" s="372"/>
      <c r="G40" s="259"/>
      <c r="H40" s="271"/>
    </row>
    <row r="41" spans="2:8" ht="32.450000000000003" customHeight="1" x14ac:dyDescent="0.25">
      <c r="B41" s="270"/>
      <c r="C41" s="386" t="s">
        <v>43</v>
      </c>
      <c r="D41" s="378"/>
      <c r="E41" s="371" t="s">
        <v>44</v>
      </c>
      <c r="F41" s="372"/>
      <c r="G41" s="259"/>
      <c r="H41" s="271"/>
    </row>
    <row r="42" spans="2:8" ht="16.5" x14ac:dyDescent="0.25">
      <c r="B42" s="270"/>
      <c r="C42" s="259"/>
      <c r="D42" s="259"/>
      <c r="E42" s="259"/>
      <c r="F42" s="259"/>
      <c r="G42" s="259"/>
      <c r="H42" s="271"/>
    </row>
    <row r="43" spans="2:8" ht="18.75" customHeight="1" x14ac:dyDescent="0.25">
      <c r="B43" s="387" t="s">
        <v>45</v>
      </c>
      <c r="C43" s="388"/>
      <c r="D43" s="388"/>
      <c r="E43" s="388"/>
      <c r="F43" s="388"/>
      <c r="G43" s="388"/>
      <c r="H43" s="389"/>
    </row>
    <row r="44" spans="2:8" ht="18.75" customHeight="1" x14ac:dyDescent="0.25">
      <c r="B44" s="256"/>
      <c r="C44" s="257"/>
      <c r="D44" s="257"/>
      <c r="E44" s="257"/>
      <c r="F44" s="257"/>
      <c r="G44" s="257"/>
      <c r="H44" s="258"/>
    </row>
    <row r="45" spans="2:8" ht="18.75" customHeight="1" x14ac:dyDescent="0.25">
      <c r="B45" s="398" t="s">
        <v>46</v>
      </c>
      <c r="C45" s="399"/>
      <c r="D45" s="399"/>
      <c r="E45" s="399"/>
      <c r="F45" s="399"/>
      <c r="G45" s="399"/>
      <c r="H45" s="400"/>
    </row>
    <row r="46" spans="2:8" ht="18.75" customHeight="1" thickBot="1" x14ac:dyDescent="0.3">
      <c r="B46" s="190"/>
      <c r="C46" s="249"/>
      <c r="D46" s="249"/>
      <c r="E46" s="249"/>
      <c r="F46" s="249"/>
      <c r="G46" s="249"/>
      <c r="H46" s="250"/>
    </row>
    <row r="47" spans="2:8" ht="18.75" customHeight="1" thickTop="1" x14ac:dyDescent="0.25">
      <c r="B47" s="190"/>
      <c r="C47" s="373" t="s">
        <v>10</v>
      </c>
      <c r="D47" s="374"/>
      <c r="E47" s="375" t="s">
        <v>11</v>
      </c>
      <c r="F47" s="376"/>
      <c r="G47" s="249"/>
      <c r="H47" s="250"/>
    </row>
    <row r="48" spans="2:8" ht="53.25" customHeight="1" x14ac:dyDescent="0.25">
      <c r="B48" s="190"/>
      <c r="C48" s="377" t="s">
        <v>47</v>
      </c>
      <c r="D48" s="370"/>
      <c r="E48" s="371" t="s">
        <v>48</v>
      </c>
      <c r="F48" s="372"/>
      <c r="G48" s="249"/>
      <c r="H48" s="250"/>
    </row>
    <row r="49" spans="2:8" ht="54" customHeight="1" x14ac:dyDescent="0.25">
      <c r="B49" s="190"/>
      <c r="C49" s="377" t="s">
        <v>49</v>
      </c>
      <c r="D49" s="370"/>
      <c r="E49" s="371" t="s">
        <v>50</v>
      </c>
      <c r="F49" s="372"/>
      <c r="G49" s="249"/>
      <c r="H49" s="250"/>
    </row>
    <row r="50" spans="2:8" ht="51.95" customHeight="1" x14ac:dyDescent="0.25">
      <c r="B50" s="190"/>
      <c r="C50" s="377" t="s">
        <v>51</v>
      </c>
      <c r="D50" s="370"/>
      <c r="E50" s="371" t="s">
        <v>52</v>
      </c>
      <c r="F50" s="372"/>
      <c r="G50" s="249"/>
      <c r="H50" s="250"/>
    </row>
    <row r="51" spans="2:8" ht="53.45" customHeight="1" x14ac:dyDescent="0.25">
      <c r="B51" s="190"/>
      <c r="C51" s="377" t="s">
        <v>53</v>
      </c>
      <c r="D51" s="370"/>
      <c r="E51" s="371" t="s">
        <v>52</v>
      </c>
      <c r="F51" s="372"/>
      <c r="G51" s="249"/>
      <c r="H51" s="250"/>
    </row>
    <row r="52" spans="2:8" ht="48.75" customHeight="1" x14ac:dyDescent="0.25">
      <c r="B52" s="190"/>
      <c r="C52" s="377" t="s">
        <v>54</v>
      </c>
      <c r="D52" s="370"/>
      <c r="E52" s="371" t="s">
        <v>55</v>
      </c>
      <c r="F52" s="372"/>
      <c r="G52" s="249"/>
      <c r="H52" s="250"/>
    </row>
    <row r="53" spans="2:8" ht="49.5" customHeight="1" x14ac:dyDescent="0.25">
      <c r="B53" s="190"/>
      <c r="C53" s="377" t="s">
        <v>56</v>
      </c>
      <c r="D53" s="370"/>
      <c r="E53" s="371" t="s">
        <v>57</v>
      </c>
      <c r="F53" s="372"/>
      <c r="G53" s="249"/>
      <c r="H53" s="250"/>
    </row>
    <row r="54" spans="2:8" ht="50.25" customHeight="1" x14ac:dyDescent="0.25">
      <c r="B54" s="190"/>
      <c r="C54" s="377" t="s">
        <v>58</v>
      </c>
      <c r="D54" s="370"/>
      <c r="E54" s="371" t="s">
        <v>59</v>
      </c>
      <c r="F54" s="372"/>
      <c r="G54" s="249"/>
      <c r="H54" s="250"/>
    </row>
    <row r="55" spans="2:8" ht="29.45" customHeight="1" x14ac:dyDescent="0.25">
      <c r="B55" s="190"/>
      <c r="C55" s="377" t="s">
        <v>60</v>
      </c>
      <c r="D55" s="370"/>
      <c r="E55" s="371" t="s">
        <v>61</v>
      </c>
      <c r="F55" s="372"/>
      <c r="G55" s="249"/>
      <c r="H55" s="250"/>
    </row>
    <row r="56" spans="2:8" ht="39.950000000000003" customHeight="1" x14ac:dyDescent="0.25">
      <c r="B56" s="190"/>
      <c r="C56" s="377" t="s">
        <v>62</v>
      </c>
      <c r="D56" s="370"/>
      <c r="E56" s="371" t="s">
        <v>63</v>
      </c>
      <c r="F56" s="372"/>
      <c r="G56" s="249"/>
      <c r="H56" s="250"/>
    </row>
    <row r="57" spans="2:8" ht="29.45" customHeight="1" x14ac:dyDescent="0.25">
      <c r="B57" s="190"/>
      <c r="C57" s="377" t="s">
        <v>64</v>
      </c>
      <c r="D57" s="370"/>
      <c r="E57" s="371" t="s">
        <v>65</v>
      </c>
      <c r="F57" s="372"/>
      <c r="G57" s="249"/>
      <c r="H57" s="250"/>
    </row>
    <row r="58" spans="2:8" ht="18.75" customHeight="1" x14ac:dyDescent="0.25">
      <c r="B58" s="190"/>
      <c r="C58" s="249"/>
      <c r="D58" s="249"/>
      <c r="E58" s="249"/>
      <c r="F58" s="249"/>
      <c r="G58" s="249"/>
      <c r="H58" s="250"/>
    </row>
    <row r="59" spans="2:8" ht="18.75" customHeight="1" x14ac:dyDescent="0.25">
      <c r="B59" s="395" t="s">
        <v>66</v>
      </c>
      <c r="C59" s="396"/>
      <c r="D59" s="396"/>
      <c r="E59" s="396"/>
      <c r="F59" s="396"/>
      <c r="G59" s="396"/>
      <c r="H59" s="397"/>
    </row>
    <row r="60" spans="2:8" ht="18.75" customHeight="1" x14ac:dyDescent="0.25">
      <c r="B60" s="190"/>
      <c r="C60" s="249"/>
      <c r="D60" s="249"/>
      <c r="E60" s="249"/>
      <c r="F60" s="249"/>
      <c r="G60" s="249"/>
      <c r="H60" s="250"/>
    </row>
    <row r="61" spans="2:8" ht="18.75" customHeight="1" x14ac:dyDescent="0.25">
      <c r="B61" s="383" t="s">
        <v>67</v>
      </c>
      <c r="C61" s="384"/>
      <c r="D61" s="384"/>
      <c r="E61" s="384"/>
      <c r="F61" s="384"/>
      <c r="G61" s="384"/>
      <c r="H61" s="385"/>
    </row>
    <row r="62" spans="2:8" ht="18.75" customHeight="1" x14ac:dyDescent="0.25">
      <c r="B62" s="243"/>
      <c r="C62" s="244"/>
      <c r="D62" s="244"/>
      <c r="E62" s="244"/>
      <c r="F62" s="244"/>
      <c r="G62" s="244"/>
      <c r="H62" s="245"/>
    </row>
    <row r="63" spans="2:8" ht="30" customHeight="1" x14ac:dyDescent="0.25">
      <c r="B63" s="398" t="s">
        <v>68</v>
      </c>
      <c r="C63" s="399"/>
      <c r="D63" s="399"/>
      <c r="E63" s="399"/>
      <c r="F63" s="399"/>
      <c r="G63" s="399"/>
      <c r="H63" s="400"/>
    </row>
    <row r="64" spans="2:8" ht="17.25" thickBot="1" x14ac:dyDescent="0.3">
      <c r="B64" s="190"/>
      <c r="C64" s="249"/>
      <c r="D64" s="249"/>
      <c r="E64" s="249"/>
      <c r="F64" s="249"/>
      <c r="G64" s="249"/>
      <c r="H64" s="250"/>
    </row>
    <row r="65" spans="2:8" ht="30" customHeight="1" thickTop="1" x14ac:dyDescent="0.25">
      <c r="B65" s="190"/>
      <c r="C65" s="373" t="s">
        <v>10</v>
      </c>
      <c r="D65" s="374"/>
      <c r="E65" s="375" t="s">
        <v>11</v>
      </c>
      <c r="F65" s="376"/>
      <c r="G65" s="249"/>
      <c r="H65" s="250"/>
    </row>
    <row r="66" spans="2:8" ht="30" customHeight="1" x14ac:dyDescent="0.25">
      <c r="B66" s="190"/>
      <c r="C66" s="377" t="s">
        <v>69</v>
      </c>
      <c r="D66" s="370"/>
      <c r="E66" s="371" t="s">
        <v>70</v>
      </c>
      <c r="F66" s="372"/>
      <c r="G66" s="249"/>
      <c r="H66" s="250"/>
    </row>
    <row r="67" spans="2:8" ht="44.45" customHeight="1" x14ac:dyDescent="0.25">
      <c r="B67" s="190"/>
      <c r="C67" s="377" t="s">
        <v>71</v>
      </c>
      <c r="D67" s="370"/>
      <c r="E67" s="371" t="s">
        <v>72</v>
      </c>
      <c r="F67" s="372"/>
      <c r="G67" s="249"/>
      <c r="H67" s="250"/>
    </row>
    <row r="68" spans="2:8" ht="51" customHeight="1" x14ac:dyDescent="0.25">
      <c r="B68" s="190"/>
      <c r="C68" s="377" t="s">
        <v>73</v>
      </c>
      <c r="D68" s="370"/>
      <c r="E68" s="371" t="s">
        <v>74</v>
      </c>
      <c r="F68" s="372"/>
      <c r="G68" s="249"/>
      <c r="H68" s="250"/>
    </row>
    <row r="69" spans="2:8" ht="76.5" customHeight="1" x14ac:dyDescent="0.25">
      <c r="B69" s="190"/>
      <c r="C69" s="377" t="s">
        <v>75</v>
      </c>
      <c r="D69" s="370"/>
      <c r="E69" s="371" t="s">
        <v>76</v>
      </c>
      <c r="F69" s="372"/>
      <c r="G69" s="249"/>
      <c r="H69" s="250"/>
    </row>
    <row r="70" spans="2:8" ht="30" customHeight="1" x14ac:dyDescent="0.25">
      <c r="B70" s="190"/>
      <c r="C70" s="377" t="s">
        <v>77</v>
      </c>
      <c r="D70" s="370"/>
      <c r="E70" s="371" t="s">
        <v>78</v>
      </c>
      <c r="F70" s="372"/>
      <c r="G70" s="249"/>
      <c r="H70" s="250"/>
    </row>
    <row r="71" spans="2:8" ht="30" customHeight="1" x14ac:dyDescent="0.25">
      <c r="B71" s="190"/>
      <c r="C71" s="377" t="s">
        <v>79</v>
      </c>
      <c r="D71" s="370"/>
      <c r="E71" s="371" t="s">
        <v>80</v>
      </c>
      <c r="F71" s="372"/>
      <c r="G71" s="249"/>
      <c r="H71" s="250"/>
    </row>
    <row r="72" spans="2:8" ht="30" customHeight="1" x14ac:dyDescent="0.25">
      <c r="B72" s="190"/>
      <c r="C72" s="377" t="s">
        <v>81</v>
      </c>
      <c r="D72" s="370"/>
      <c r="E72" s="371" t="s">
        <v>82</v>
      </c>
      <c r="F72" s="372"/>
      <c r="G72" s="249"/>
      <c r="H72" s="250"/>
    </row>
    <row r="73" spans="2:8" ht="53.45" customHeight="1" x14ac:dyDescent="0.25">
      <c r="B73" s="190"/>
      <c r="C73" s="377" t="s">
        <v>83</v>
      </c>
      <c r="D73" s="370"/>
      <c r="E73" s="371" t="s">
        <v>84</v>
      </c>
      <c r="F73" s="372"/>
      <c r="G73" s="249"/>
      <c r="H73" s="250"/>
    </row>
    <row r="74" spans="2:8" ht="30" customHeight="1" x14ac:dyDescent="0.25">
      <c r="B74" s="190"/>
      <c r="C74" s="249"/>
      <c r="D74" s="249"/>
      <c r="E74" s="249"/>
      <c r="F74" s="249"/>
      <c r="G74" s="249"/>
      <c r="H74" s="250"/>
    </row>
    <row r="75" spans="2:8" ht="18.75" customHeight="1" x14ac:dyDescent="0.25">
      <c r="B75" s="383" t="s">
        <v>85</v>
      </c>
      <c r="C75" s="384"/>
      <c r="D75" s="384"/>
      <c r="E75" s="384"/>
      <c r="F75" s="384"/>
      <c r="G75" s="384"/>
      <c r="H75" s="385"/>
    </row>
    <row r="76" spans="2:8" ht="18.75" customHeight="1" x14ac:dyDescent="0.25">
      <c r="B76" s="251"/>
      <c r="C76" s="252"/>
      <c r="D76" s="252"/>
      <c r="E76" s="252"/>
      <c r="F76" s="252"/>
      <c r="G76" s="252"/>
      <c r="H76" s="253"/>
    </row>
    <row r="77" spans="2:8" ht="18.75" customHeight="1" x14ac:dyDescent="0.25">
      <c r="B77" s="383" t="s">
        <v>86</v>
      </c>
      <c r="C77" s="384"/>
      <c r="D77" s="384"/>
      <c r="E77" s="384"/>
      <c r="F77" s="384"/>
      <c r="G77" s="384"/>
      <c r="H77" s="385"/>
    </row>
    <row r="78" spans="2:8" ht="18.75" customHeight="1" x14ac:dyDescent="0.25">
      <c r="B78" s="251"/>
      <c r="C78" s="252"/>
      <c r="D78" s="252"/>
      <c r="E78" s="252"/>
      <c r="F78" s="252"/>
      <c r="G78" s="252"/>
      <c r="H78" s="253"/>
    </row>
    <row r="79" spans="2:8" ht="18.75" customHeight="1" x14ac:dyDescent="0.25">
      <c r="B79" s="383" t="s">
        <v>87</v>
      </c>
      <c r="C79" s="384"/>
      <c r="D79" s="384"/>
      <c r="E79" s="384"/>
      <c r="F79" s="384"/>
      <c r="G79" s="384"/>
      <c r="H79" s="385"/>
    </row>
    <row r="80" spans="2:8" ht="16.5" x14ac:dyDescent="0.25">
      <c r="B80" s="190"/>
      <c r="C80" s="272"/>
      <c r="D80" s="272"/>
      <c r="E80" s="272"/>
      <c r="F80" s="272"/>
      <c r="G80" s="272"/>
      <c r="H80" s="191"/>
    </row>
    <row r="81" spans="2:8" ht="16.5" x14ac:dyDescent="0.25">
      <c r="B81" s="190"/>
      <c r="C81" s="272"/>
      <c r="D81" s="272"/>
      <c r="E81" s="272"/>
      <c r="F81" s="272"/>
      <c r="G81" s="272"/>
      <c r="H81" s="191"/>
    </row>
    <row r="82" spans="2:8" ht="16.5" x14ac:dyDescent="0.25">
      <c r="B82" s="190" t="s">
        <v>88</v>
      </c>
      <c r="C82" s="272"/>
      <c r="D82" s="272"/>
      <c r="E82" s="272"/>
      <c r="F82" s="272"/>
      <c r="G82" s="272"/>
      <c r="H82" s="191"/>
    </row>
    <row r="83" spans="2:8" ht="16.5" x14ac:dyDescent="0.25">
      <c r="B83" s="190"/>
      <c r="C83" s="272"/>
      <c r="D83" s="272"/>
      <c r="E83" s="272"/>
      <c r="F83" s="272"/>
      <c r="G83" s="272"/>
      <c r="H83" s="191"/>
    </row>
    <row r="84" spans="2:8" ht="15.75" thickBot="1" x14ac:dyDescent="0.3">
      <c r="B84" s="264"/>
      <c r="C84" s="269"/>
      <c r="D84" s="273"/>
      <c r="E84" s="274"/>
      <c r="F84" s="274"/>
      <c r="G84" s="275"/>
      <c r="H84" s="265"/>
    </row>
    <row r="85" spans="2:8" ht="15.75" thickTop="1" x14ac:dyDescent="0.25">
      <c r="B85" s="276" t="s">
        <v>89</v>
      </c>
      <c r="C85" s="419" t="s">
        <v>10</v>
      </c>
      <c r="D85" s="374"/>
      <c r="E85" s="375" t="s">
        <v>11</v>
      </c>
      <c r="F85" s="376"/>
      <c r="G85" s="269"/>
      <c r="H85" s="265"/>
    </row>
    <row r="86" spans="2:8" s="189" customFormat="1" x14ac:dyDescent="0.25">
      <c r="B86" s="280">
        <v>2</v>
      </c>
      <c r="C86" s="379" t="s">
        <v>12</v>
      </c>
      <c r="D86" s="380"/>
      <c r="E86" s="381" t="s">
        <v>13</v>
      </c>
      <c r="F86" s="382"/>
      <c r="G86" s="277"/>
      <c r="H86" s="192"/>
    </row>
    <row r="87" spans="2:8" s="189" customFormat="1" ht="17.25" customHeight="1" x14ac:dyDescent="0.25">
      <c r="B87" s="280">
        <v>2</v>
      </c>
      <c r="C87" s="379" t="s">
        <v>14</v>
      </c>
      <c r="D87" s="380"/>
      <c r="E87" s="381" t="s">
        <v>15</v>
      </c>
      <c r="F87" s="382"/>
      <c r="G87" s="277"/>
      <c r="H87" s="192"/>
    </row>
    <row r="88" spans="2:8" s="189" customFormat="1" ht="25.5" customHeight="1" x14ac:dyDescent="0.25">
      <c r="B88" s="280">
        <v>2</v>
      </c>
      <c r="C88" s="379" t="s">
        <v>16</v>
      </c>
      <c r="D88" s="380"/>
      <c r="E88" s="381" t="s">
        <v>17</v>
      </c>
      <c r="F88" s="382"/>
      <c r="G88" s="277"/>
      <c r="H88" s="192"/>
    </row>
    <row r="89" spans="2:8" s="189" customFormat="1" ht="25.5" customHeight="1" x14ac:dyDescent="0.25">
      <c r="B89" s="280">
        <v>2</v>
      </c>
      <c r="C89" s="379" t="s">
        <v>18</v>
      </c>
      <c r="D89" s="380"/>
      <c r="E89" s="381" t="s">
        <v>19</v>
      </c>
      <c r="F89" s="382"/>
      <c r="G89" s="277"/>
      <c r="H89" s="192"/>
    </row>
    <row r="90" spans="2:8" s="189" customFormat="1" ht="66.95" customHeight="1" x14ac:dyDescent="0.25">
      <c r="B90" s="280">
        <v>2</v>
      </c>
      <c r="C90" s="379" t="s">
        <v>20</v>
      </c>
      <c r="D90" s="380"/>
      <c r="E90" s="381" t="s">
        <v>21</v>
      </c>
      <c r="F90" s="382"/>
      <c r="G90" s="277"/>
      <c r="H90" s="192"/>
    </row>
    <row r="91" spans="2:8" s="189" customFormat="1" ht="67.5" customHeight="1" x14ac:dyDescent="0.25">
      <c r="B91" s="280">
        <v>2</v>
      </c>
      <c r="C91" s="370" t="s">
        <v>22</v>
      </c>
      <c r="D91" s="378"/>
      <c r="E91" s="371" t="s">
        <v>23</v>
      </c>
      <c r="F91" s="372"/>
      <c r="G91" s="277"/>
      <c r="H91" s="192"/>
    </row>
    <row r="92" spans="2:8" s="189" customFormat="1" ht="43.5" customHeight="1" x14ac:dyDescent="0.25">
      <c r="B92" s="280">
        <v>2</v>
      </c>
      <c r="C92" s="370" t="s">
        <v>24</v>
      </c>
      <c r="D92" s="378"/>
      <c r="E92" s="371" t="s">
        <v>25</v>
      </c>
      <c r="F92" s="372"/>
      <c r="G92" s="277"/>
      <c r="H92" s="192"/>
    </row>
    <row r="93" spans="2:8" s="189" customFormat="1" ht="35.25" customHeight="1" x14ac:dyDescent="0.25">
      <c r="B93" s="280">
        <v>2</v>
      </c>
      <c r="C93" s="370" t="s">
        <v>26</v>
      </c>
      <c r="D93" s="378"/>
      <c r="E93" s="371" t="s">
        <v>27</v>
      </c>
      <c r="F93" s="372"/>
      <c r="G93" s="277"/>
      <c r="H93" s="192"/>
    </row>
    <row r="94" spans="2:8" s="189" customFormat="1" ht="72.75" customHeight="1" x14ac:dyDescent="0.25">
      <c r="B94" s="280">
        <v>2</v>
      </c>
      <c r="C94" s="370" t="s">
        <v>28</v>
      </c>
      <c r="D94" s="378"/>
      <c r="E94" s="371" t="s">
        <v>90</v>
      </c>
      <c r="F94" s="372"/>
      <c r="G94" s="277"/>
      <c r="H94" s="192"/>
    </row>
    <row r="95" spans="2:8" s="189" customFormat="1" ht="93.95" customHeight="1" x14ac:dyDescent="0.25">
      <c r="B95" s="280">
        <v>2</v>
      </c>
      <c r="C95" s="370" t="s">
        <v>30</v>
      </c>
      <c r="D95" s="378"/>
      <c r="E95" s="371" t="s">
        <v>31</v>
      </c>
      <c r="F95" s="372"/>
      <c r="G95" s="277"/>
      <c r="H95" s="192"/>
    </row>
    <row r="96" spans="2:8" s="189" customFormat="1" ht="93.95" customHeight="1" x14ac:dyDescent="0.25">
      <c r="B96" s="280">
        <v>2</v>
      </c>
      <c r="C96" s="370" t="s">
        <v>32</v>
      </c>
      <c r="D96" s="378"/>
      <c r="E96" s="371" t="s">
        <v>33</v>
      </c>
      <c r="F96" s="372"/>
      <c r="G96" s="277"/>
      <c r="H96" s="192"/>
    </row>
    <row r="97" spans="2:8" s="189" customFormat="1" x14ac:dyDescent="0.25">
      <c r="B97" s="280">
        <v>2</v>
      </c>
      <c r="C97" s="370" t="s">
        <v>34</v>
      </c>
      <c r="D97" s="378"/>
      <c r="E97" s="371" t="s">
        <v>35</v>
      </c>
      <c r="F97" s="372"/>
      <c r="G97" s="277"/>
      <c r="H97" s="192"/>
    </row>
    <row r="98" spans="2:8" s="189" customFormat="1" ht="66.75" customHeight="1" x14ac:dyDescent="0.25">
      <c r="B98" s="280">
        <v>3</v>
      </c>
      <c r="C98" s="370" t="s">
        <v>37</v>
      </c>
      <c r="D98" s="378"/>
      <c r="E98" s="371" t="s">
        <v>38</v>
      </c>
      <c r="F98" s="372"/>
      <c r="G98" s="277"/>
      <c r="H98" s="192"/>
    </row>
    <row r="99" spans="2:8" s="189" customFormat="1" ht="66.75" customHeight="1" x14ac:dyDescent="0.25">
      <c r="B99" s="280">
        <v>3</v>
      </c>
      <c r="C99" s="370" t="s">
        <v>39</v>
      </c>
      <c r="D99" s="378"/>
      <c r="E99" s="371" t="s">
        <v>40</v>
      </c>
      <c r="F99" s="372"/>
      <c r="G99" s="277"/>
      <c r="H99" s="192"/>
    </row>
    <row r="100" spans="2:8" s="189" customFormat="1" ht="62.45" customHeight="1" x14ac:dyDescent="0.25">
      <c r="B100" s="280">
        <v>3</v>
      </c>
      <c r="C100" s="370" t="s">
        <v>41</v>
      </c>
      <c r="D100" s="378"/>
      <c r="E100" s="371" t="s">
        <v>42</v>
      </c>
      <c r="F100" s="372"/>
      <c r="G100" s="277"/>
      <c r="H100" s="192"/>
    </row>
    <row r="101" spans="2:8" s="189" customFormat="1" ht="38.450000000000003" customHeight="1" x14ac:dyDescent="0.25">
      <c r="B101" s="280">
        <v>3</v>
      </c>
      <c r="C101" s="370" t="s">
        <v>43</v>
      </c>
      <c r="D101" s="378"/>
      <c r="E101" s="371" t="s">
        <v>44</v>
      </c>
      <c r="F101" s="372"/>
      <c r="G101" s="277"/>
      <c r="H101" s="192"/>
    </row>
    <row r="102" spans="2:8" ht="59.25" customHeight="1" x14ac:dyDescent="0.25">
      <c r="B102" s="281">
        <v>5</v>
      </c>
      <c r="C102" s="369" t="s">
        <v>47</v>
      </c>
      <c r="D102" s="370"/>
      <c r="E102" s="371" t="s">
        <v>91</v>
      </c>
      <c r="F102" s="372"/>
      <c r="G102" s="269"/>
      <c r="H102" s="265"/>
    </row>
    <row r="103" spans="2:8" ht="59.25" customHeight="1" x14ac:dyDescent="0.25">
      <c r="B103" s="281">
        <v>5</v>
      </c>
      <c r="C103" s="369" t="s">
        <v>49</v>
      </c>
      <c r="D103" s="370"/>
      <c r="E103" s="371" t="s">
        <v>50</v>
      </c>
      <c r="F103" s="372"/>
      <c r="G103" s="269"/>
      <c r="H103" s="265"/>
    </row>
    <row r="104" spans="2:8" ht="59.25" customHeight="1" x14ac:dyDescent="0.25">
      <c r="B104" s="281">
        <v>5</v>
      </c>
      <c r="C104" s="369" t="s">
        <v>51</v>
      </c>
      <c r="D104" s="370"/>
      <c r="E104" s="371" t="s">
        <v>52</v>
      </c>
      <c r="F104" s="372"/>
      <c r="G104" s="269"/>
      <c r="H104" s="265"/>
    </row>
    <row r="105" spans="2:8" ht="59.25" customHeight="1" x14ac:dyDescent="0.25">
      <c r="B105" s="281">
        <v>5</v>
      </c>
      <c r="C105" s="369" t="s">
        <v>53</v>
      </c>
      <c r="D105" s="370"/>
      <c r="E105" s="371" t="s">
        <v>52</v>
      </c>
      <c r="F105" s="372"/>
      <c r="G105" s="269"/>
      <c r="H105" s="265"/>
    </row>
    <row r="106" spans="2:8" ht="47.45" customHeight="1" x14ac:dyDescent="0.25">
      <c r="B106" s="281">
        <v>5</v>
      </c>
      <c r="C106" s="369" t="s">
        <v>54</v>
      </c>
      <c r="D106" s="370"/>
      <c r="E106" s="371" t="s">
        <v>55</v>
      </c>
      <c r="F106" s="372"/>
      <c r="G106" s="269"/>
      <c r="H106" s="265"/>
    </row>
    <row r="107" spans="2:8" ht="45.75" customHeight="1" x14ac:dyDescent="0.25">
      <c r="B107" s="281">
        <v>5</v>
      </c>
      <c r="C107" s="369" t="s">
        <v>56</v>
      </c>
      <c r="D107" s="370"/>
      <c r="E107" s="371" t="s">
        <v>57</v>
      </c>
      <c r="F107" s="372"/>
      <c r="G107" s="269"/>
      <c r="H107" s="265"/>
    </row>
    <row r="108" spans="2:8" ht="32.450000000000003" customHeight="1" x14ac:dyDescent="0.25">
      <c r="B108" s="281">
        <v>5</v>
      </c>
      <c r="C108" s="369" t="s">
        <v>58</v>
      </c>
      <c r="D108" s="370"/>
      <c r="E108" s="371" t="s">
        <v>59</v>
      </c>
      <c r="F108" s="372"/>
      <c r="G108" s="269"/>
      <c r="H108" s="265"/>
    </row>
    <row r="109" spans="2:8" ht="33.75" customHeight="1" x14ac:dyDescent="0.25">
      <c r="B109" s="281">
        <v>5</v>
      </c>
      <c r="C109" s="369" t="s">
        <v>60</v>
      </c>
      <c r="D109" s="370"/>
      <c r="E109" s="371" t="s">
        <v>61</v>
      </c>
      <c r="F109" s="372"/>
      <c r="G109" s="269"/>
      <c r="H109" s="265"/>
    </row>
    <row r="110" spans="2:8" ht="33.75" customHeight="1" x14ac:dyDescent="0.25">
      <c r="B110" s="281">
        <v>5</v>
      </c>
      <c r="C110" s="369" t="s">
        <v>62</v>
      </c>
      <c r="D110" s="370"/>
      <c r="E110" s="371" t="s">
        <v>63</v>
      </c>
      <c r="F110" s="372"/>
      <c r="G110" s="269"/>
      <c r="H110" s="265"/>
    </row>
    <row r="111" spans="2:8" x14ac:dyDescent="0.25">
      <c r="B111" s="281">
        <v>5</v>
      </c>
      <c r="C111" s="369" t="s">
        <v>64</v>
      </c>
      <c r="D111" s="370"/>
      <c r="E111" s="371" t="s">
        <v>65</v>
      </c>
      <c r="F111" s="372"/>
      <c r="G111" s="269"/>
      <c r="H111" s="265"/>
    </row>
    <row r="112" spans="2:8" ht="24.95" customHeight="1" x14ac:dyDescent="0.25">
      <c r="B112" s="281">
        <v>8</v>
      </c>
      <c r="C112" s="369" t="s">
        <v>69</v>
      </c>
      <c r="D112" s="370"/>
      <c r="E112" s="371" t="s">
        <v>70</v>
      </c>
      <c r="F112" s="372"/>
      <c r="G112" s="269"/>
      <c r="H112" s="265"/>
    </row>
    <row r="113" spans="2:8" ht="46.5" customHeight="1" x14ac:dyDescent="0.25">
      <c r="B113" s="281">
        <v>8</v>
      </c>
      <c r="C113" s="369" t="s">
        <v>71</v>
      </c>
      <c r="D113" s="370"/>
      <c r="E113" s="371" t="s">
        <v>72</v>
      </c>
      <c r="F113" s="372"/>
      <c r="G113" s="269"/>
      <c r="H113" s="265"/>
    </row>
    <row r="114" spans="2:8" ht="46.5" customHeight="1" x14ac:dyDescent="0.25">
      <c r="B114" s="281">
        <v>8</v>
      </c>
      <c r="C114" s="369" t="s">
        <v>73</v>
      </c>
      <c r="D114" s="370"/>
      <c r="E114" s="371" t="s">
        <v>74</v>
      </c>
      <c r="F114" s="372"/>
      <c r="G114" s="269"/>
      <c r="H114" s="265"/>
    </row>
    <row r="115" spans="2:8" s="189" customFormat="1" ht="82.5" customHeight="1" x14ac:dyDescent="0.25">
      <c r="B115" s="280">
        <v>8</v>
      </c>
      <c r="C115" s="369" t="s">
        <v>75</v>
      </c>
      <c r="D115" s="370"/>
      <c r="E115" s="371" t="s">
        <v>76</v>
      </c>
      <c r="F115" s="372"/>
      <c r="G115" s="277"/>
      <c r="H115" s="192"/>
    </row>
    <row r="116" spans="2:8" s="189" customFormat="1" ht="33.950000000000003" customHeight="1" x14ac:dyDescent="0.25">
      <c r="B116" s="280">
        <v>8</v>
      </c>
      <c r="C116" s="369" t="s">
        <v>77</v>
      </c>
      <c r="D116" s="370"/>
      <c r="E116" s="371" t="s">
        <v>78</v>
      </c>
      <c r="F116" s="372"/>
      <c r="G116" s="277"/>
      <c r="H116" s="192"/>
    </row>
    <row r="117" spans="2:8" s="189" customFormat="1" ht="33.950000000000003" customHeight="1" x14ac:dyDescent="0.25">
      <c r="B117" s="280">
        <v>8</v>
      </c>
      <c r="C117" s="369" t="s">
        <v>79</v>
      </c>
      <c r="D117" s="370"/>
      <c r="E117" s="371" t="s">
        <v>80</v>
      </c>
      <c r="F117" s="372"/>
      <c r="G117" s="277"/>
      <c r="H117" s="192"/>
    </row>
    <row r="118" spans="2:8" s="189" customFormat="1" ht="33.950000000000003" customHeight="1" x14ac:dyDescent="0.25">
      <c r="B118" s="280">
        <v>8</v>
      </c>
      <c r="C118" s="369" t="s">
        <v>81</v>
      </c>
      <c r="D118" s="370"/>
      <c r="E118" s="371" t="s">
        <v>82</v>
      </c>
      <c r="F118" s="372"/>
      <c r="G118" s="277"/>
      <c r="H118" s="192"/>
    </row>
    <row r="119" spans="2:8" s="189" customFormat="1" ht="46.5" customHeight="1" x14ac:dyDescent="0.25">
      <c r="B119" s="280">
        <v>8</v>
      </c>
      <c r="C119" s="369" t="s">
        <v>83</v>
      </c>
      <c r="D119" s="370"/>
      <c r="E119" s="371" t="s">
        <v>84</v>
      </c>
      <c r="F119" s="372"/>
      <c r="G119" s="277"/>
      <c r="H119" s="192"/>
    </row>
    <row r="120" spans="2:8" ht="6.75" customHeight="1" thickBot="1" x14ac:dyDescent="0.3">
      <c r="B120" s="264"/>
      <c r="C120" s="401"/>
      <c r="D120" s="402"/>
      <c r="E120" s="403"/>
      <c r="F120" s="404"/>
      <c r="G120" s="269"/>
      <c r="H120" s="265"/>
    </row>
    <row r="121" spans="2:8" ht="15.75" thickTop="1" x14ac:dyDescent="0.25">
      <c r="B121" s="264"/>
      <c r="C121" s="278"/>
      <c r="D121" s="278"/>
      <c r="E121" s="279"/>
      <c r="F121" s="279"/>
      <c r="G121" s="269"/>
      <c r="H121" s="265"/>
    </row>
    <row r="122" spans="2:8" ht="15.75" thickBot="1" x14ac:dyDescent="0.3">
      <c r="B122" s="266"/>
      <c r="C122" s="267"/>
      <c r="D122" s="267"/>
      <c r="E122" s="267"/>
      <c r="F122" s="267"/>
      <c r="G122" s="267"/>
      <c r="H122" s="268"/>
    </row>
    <row r="123" spans="2:8" x14ac:dyDescent="0.25"/>
    <row r="124" spans="2:8" x14ac:dyDescent="0.25"/>
    <row r="125" spans="2:8" x14ac:dyDescent="0.25"/>
    <row r="126" spans="2:8" x14ac:dyDescent="0.25">
      <c r="B126" s="298" t="s">
        <v>92</v>
      </c>
    </row>
    <row r="127" spans="2:8" ht="48" customHeight="1" x14ac:dyDescent="0.25">
      <c r="B127" s="367"/>
      <c r="C127" s="367"/>
    </row>
    <row r="128" spans="2:8" x14ac:dyDescent="0.25">
      <c r="B128" s="368"/>
      <c r="C128" s="368"/>
    </row>
    <row r="129" x14ac:dyDescent="0.25"/>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A66" zoomScale="70" zoomScaleNormal="70" workbookViewId="0">
      <selection activeCell="A39" sqref="A39:A47"/>
    </sheetView>
  </sheetViews>
  <sheetFormatPr baseColWidth="10" defaultColWidth="10.85546875" defaultRowHeight="12.75" x14ac:dyDescent="0.2"/>
  <cols>
    <col min="1" max="1" width="35.42578125" style="135" customWidth="1"/>
    <col min="2" max="2" width="47.140625" style="135" customWidth="1"/>
    <col min="3" max="3" width="42.42578125" style="135" customWidth="1"/>
    <col min="4" max="4" width="34.42578125" style="135" customWidth="1"/>
    <col min="5" max="5" width="27.140625" style="135" customWidth="1"/>
    <col min="6" max="6" width="45.42578125" style="135" customWidth="1"/>
    <col min="7" max="7" width="22.140625" style="135" customWidth="1"/>
    <col min="8" max="8" width="20.85546875" style="135" customWidth="1"/>
    <col min="9" max="9" width="46.28515625" style="135" customWidth="1"/>
    <col min="10" max="10" width="10.85546875" style="135"/>
    <col min="11" max="11" width="20.85546875" style="135" customWidth="1"/>
    <col min="12" max="12" width="14.42578125" style="135" customWidth="1"/>
    <col min="13" max="14" width="21" style="135" customWidth="1"/>
    <col min="15" max="16" width="10.85546875" style="135"/>
    <col min="17" max="17" width="14.85546875" style="135" customWidth="1"/>
    <col min="18" max="18" width="10.85546875" style="135"/>
    <col min="19" max="19" width="16.42578125" style="135" customWidth="1"/>
    <col min="20" max="20" width="10.85546875" style="135"/>
    <col min="21" max="21" width="30.140625" style="135" customWidth="1"/>
    <col min="22" max="16384" width="10.85546875" style="135"/>
  </cols>
  <sheetData>
    <row r="1" spans="1:23" ht="25.5" customHeight="1" x14ac:dyDescent="0.2">
      <c r="A1" s="433" t="s">
        <v>124</v>
      </c>
      <c r="B1" s="433"/>
      <c r="E1" s="432" t="s">
        <v>125</v>
      </c>
      <c r="F1" s="432"/>
      <c r="G1" s="432"/>
      <c r="H1" s="432"/>
    </row>
    <row r="2" spans="1:23" ht="48.95" customHeight="1" x14ac:dyDescent="0.2">
      <c r="B2" s="147" t="s">
        <v>101</v>
      </c>
      <c r="C2" s="147"/>
      <c r="E2" s="431" t="s">
        <v>126</v>
      </c>
      <c r="F2" s="431"/>
      <c r="G2" s="431"/>
      <c r="H2" s="431"/>
      <c r="I2" s="431"/>
      <c r="K2" s="431" t="s">
        <v>127</v>
      </c>
      <c r="L2" s="431"/>
      <c r="M2" s="431"/>
      <c r="N2" s="431"/>
      <c r="P2" s="431" t="s">
        <v>53</v>
      </c>
      <c r="Q2" s="431"/>
      <c r="S2" s="136" t="s">
        <v>71</v>
      </c>
      <c r="U2" s="136" t="s">
        <v>128</v>
      </c>
      <c r="W2" s="75" t="s">
        <v>83</v>
      </c>
    </row>
    <row r="3" spans="1:23" ht="29.25" thickBot="1" x14ac:dyDescent="0.25">
      <c r="A3" s="137" t="s">
        <v>129</v>
      </c>
      <c r="B3" s="147" t="s">
        <v>129</v>
      </c>
      <c r="C3" s="147" t="s">
        <v>101</v>
      </c>
      <c r="E3" s="138" t="s">
        <v>49</v>
      </c>
      <c r="F3" s="138" t="s">
        <v>51</v>
      </c>
      <c r="H3" s="138" t="s">
        <v>54</v>
      </c>
      <c r="I3" s="138" t="s">
        <v>56</v>
      </c>
      <c r="K3" s="136" t="s">
        <v>130</v>
      </c>
      <c r="L3" s="136" t="s">
        <v>131</v>
      </c>
      <c r="M3" s="136" t="s">
        <v>132</v>
      </c>
      <c r="N3" s="136" t="s">
        <v>133</v>
      </c>
      <c r="P3" s="142" t="s">
        <v>49</v>
      </c>
      <c r="Q3" s="142" t="s">
        <v>134</v>
      </c>
      <c r="S3" s="137" t="s">
        <v>135</v>
      </c>
      <c r="U3" s="11" t="s">
        <v>136</v>
      </c>
      <c r="W3" s="52" t="s">
        <v>137</v>
      </c>
    </row>
    <row r="4" spans="1:23" ht="38.25" x14ac:dyDescent="0.2">
      <c r="A4" s="146" t="s">
        <v>138</v>
      </c>
      <c r="B4" s="149" t="s">
        <v>138</v>
      </c>
      <c r="C4" s="160" t="s">
        <v>139</v>
      </c>
      <c r="E4" s="137" t="s">
        <v>140</v>
      </c>
      <c r="F4" s="139">
        <v>0.25</v>
      </c>
      <c r="H4" s="137" t="s">
        <v>141</v>
      </c>
      <c r="I4" s="139">
        <v>0.25</v>
      </c>
      <c r="K4" s="302" t="s">
        <v>142</v>
      </c>
      <c r="L4" s="137" t="s">
        <v>143</v>
      </c>
      <c r="M4" s="137" t="s">
        <v>144</v>
      </c>
      <c r="N4" s="137" t="s">
        <v>145</v>
      </c>
      <c r="P4" s="137" t="s">
        <v>140</v>
      </c>
      <c r="Q4" s="184" t="s">
        <v>146</v>
      </c>
      <c r="S4" s="137" t="s">
        <v>147</v>
      </c>
      <c r="U4" s="11" t="s">
        <v>148</v>
      </c>
      <c r="W4" s="52" t="s">
        <v>149</v>
      </c>
    </row>
    <row r="5" spans="1:23" ht="77.25" thickBot="1" x14ac:dyDescent="0.25">
      <c r="A5" s="146" t="s">
        <v>150</v>
      </c>
      <c r="B5" s="153"/>
      <c r="C5" s="161"/>
      <c r="E5" s="137" t="s">
        <v>151</v>
      </c>
      <c r="F5" s="139">
        <v>0.15</v>
      </c>
      <c r="H5" s="137" t="s">
        <v>152</v>
      </c>
      <c r="I5" s="139">
        <v>0.15</v>
      </c>
      <c r="K5" s="302" t="s">
        <v>153</v>
      </c>
      <c r="L5" s="137" t="s">
        <v>154</v>
      </c>
      <c r="M5" s="137" t="s">
        <v>155</v>
      </c>
      <c r="N5" s="137" t="s">
        <v>156</v>
      </c>
      <c r="P5" s="137" t="s">
        <v>151</v>
      </c>
      <c r="Q5" s="184" t="s">
        <v>146</v>
      </c>
      <c r="S5" s="137" t="s">
        <v>157</v>
      </c>
      <c r="U5" s="11" t="s">
        <v>158</v>
      </c>
      <c r="W5" s="52" t="s">
        <v>159</v>
      </c>
    </row>
    <row r="6" spans="1:23" ht="28.5" x14ac:dyDescent="0.2">
      <c r="A6" s="146" t="s">
        <v>160</v>
      </c>
      <c r="B6" s="155" t="s">
        <v>150</v>
      </c>
      <c r="C6" s="162" t="s">
        <v>161</v>
      </c>
      <c r="E6" s="137" t="s">
        <v>162</v>
      </c>
      <c r="F6" s="139">
        <v>0.1</v>
      </c>
      <c r="H6" s="137"/>
      <c r="I6" s="137"/>
      <c r="K6" s="302" t="s">
        <v>163</v>
      </c>
      <c r="L6" s="137"/>
      <c r="M6" s="137"/>
      <c r="N6" s="137" t="s">
        <v>164</v>
      </c>
      <c r="P6" s="137" t="s">
        <v>162</v>
      </c>
      <c r="Q6" s="184" t="s">
        <v>165</v>
      </c>
      <c r="S6" s="137" t="s">
        <v>166</v>
      </c>
      <c r="U6" s="11" t="s">
        <v>167</v>
      </c>
      <c r="W6" s="137"/>
    </row>
    <row r="7" spans="1:23" ht="13.5" thickBot="1" x14ac:dyDescent="0.25">
      <c r="A7" s="146" t="s">
        <v>168</v>
      </c>
      <c r="B7" s="153"/>
      <c r="C7" s="161"/>
      <c r="E7" s="137"/>
      <c r="F7" s="139"/>
      <c r="P7" s="140"/>
      <c r="S7" s="137" t="s">
        <v>169</v>
      </c>
    </row>
    <row r="8" spans="1:23" x14ac:dyDescent="0.2">
      <c r="A8" s="146" t="s">
        <v>170</v>
      </c>
      <c r="B8" s="155" t="s">
        <v>160</v>
      </c>
      <c r="C8" s="162" t="s">
        <v>171</v>
      </c>
      <c r="S8" s="137"/>
    </row>
    <row r="9" spans="1:23" ht="26.25" thickBot="1" x14ac:dyDescent="0.25">
      <c r="A9" s="146" t="s">
        <v>172</v>
      </c>
      <c r="B9" s="157"/>
      <c r="C9" s="161"/>
    </row>
    <row r="10" spans="1:23" x14ac:dyDescent="0.2">
      <c r="A10" s="146" t="s">
        <v>173</v>
      </c>
      <c r="B10" s="155" t="s">
        <v>168</v>
      </c>
      <c r="C10" s="162" t="s">
        <v>174</v>
      </c>
    </row>
    <row r="11" spans="1:23" ht="14.25" customHeight="1" thickBot="1" x14ac:dyDescent="0.25">
      <c r="A11" s="148"/>
      <c r="B11" s="153"/>
      <c r="C11" s="161"/>
    </row>
    <row r="12" spans="1:23" ht="14.25" customHeight="1" x14ac:dyDescent="0.2">
      <c r="B12" s="155" t="s">
        <v>170</v>
      </c>
      <c r="C12" s="156" t="s">
        <v>139</v>
      </c>
    </row>
    <row r="13" spans="1:23" ht="14.25" customHeight="1" x14ac:dyDescent="0.2">
      <c r="A13" s="300" t="s">
        <v>106</v>
      </c>
      <c r="B13" s="152"/>
      <c r="C13" s="151" t="s">
        <v>161</v>
      </c>
    </row>
    <row r="14" spans="1:23" ht="14.25" customHeight="1" x14ac:dyDescent="0.2">
      <c r="A14" s="301" t="s">
        <v>175</v>
      </c>
      <c r="B14" s="150"/>
      <c r="C14" s="151" t="s">
        <v>171</v>
      </c>
    </row>
    <row r="15" spans="1:23" ht="14.25" customHeight="1" x14ac:dyDescent="0.2">
      <c r="A15" s="301" t="s">
        <v>112</v>
      </c>
      <c r="B15" s="150"/>
      <c r="C15" s="151" t="s">
        <v>174</v>
      </c>
    </row>
    <row r="16" spans="1:23" ht="14.25" customHeight="1" x14ac:dyDescent="0.2">
      <c r="A16" s="301" t="s">
        <v>176</v>
      </c>
      <c r="B16" s="150"/>
      <c r="C16" s="151" t="s">
        <v>177</v>
      </c>
    </row>
    <row r="17" spans="1:5" ht="14.25" customHeight="1" thickBot="1" x14ac:dyDescent="0.25">
      <c r="A17" s="301" t="s">
        <v>178</v>
      </c>
      <c r="B17" s="153"/>
      <c r="C17" s="154"/>
    </row>
    <row r="18" spans="1:5" x14ac:dyDescent="0.2">
      <c r="A18" s="301" t="s">
        <v>179</v>
      </c>
      <c r="B18" s="155" t="s">
        <v>172</v>
      </c>
      <c r="C18" s="156" t="s">
        <v>139</v>
      </c>
    </row>
    <row r="19" spans="1:5" ht="14.25" customHeight="1" x14ac:dyDescent="0.2">
      <c r="B19" s="150"/>
      <c r="C19" s="151" t="s">
        <v>161</v>
      </c>
    </row>
    <row r="20" spans="1:5" ht="14.25" customHeight="1" x14ac:dyDescent="0.2">
      <c r="B20" s="150"/>
      <c r="C20" s="151" t="s">
        <v>171</v>
      </c>
    </row>
    <row r="21" spans="1:5" ht="14.25" customHeight="1" x14ac:dyDescent="0.2">
      <c r="B21" s="150"/>
      <c r="C21" s="151" t="s">
        <v>174</v>
      </c>
    </row>
    <row r="22" spans="1:5" ht="14.25" customHeight="1" x14ac:dyDescent="0.2">
      <c r="B22" s="150"/>
      <c r="C22" s="151" t="s">
        <v>177</v>
      </c>
    </row>
    <row r="23" spans="1:5" ht="14.25" customHeight="1" thickBot="1" x14ac:dyDescent="0.25">
      <c r="B23" s="157"/>
      <c r="C23" s="158"/>
    </row>
    <row r="24" spans="1:5" ht="14.25" customHeight="1" x14ac:dyDescent="0.2">
      <c r="B24" s="155" t="s">
        <v>173</v>
      </c>
      <c r="C24" s="156" t="s">
        <v>177</v>
      </c>
    </row>
    <row r="25" spans="1:5" ht="14.25" customHeight="1" x14ac:dyDescent="0.2">
      <c r="B25" s="150"/>
      <c r="C25" s="151" t="s">
        <v>161</v>
      </c>
    </row>
    <row r="26" spans="1:5" ht="14.25" customHeight="1" thickBot="1" x14ac:dyDescent="0.25">
      <c r="B26" s="153"/>
      <c r="C26" s="154"/>
    </row>
    <row r="30" spans="1:5" x14ac:dyDescent="0.2">
      <c r="A30" s="300"/>
      <c r="B30" s="300"/>
      <c r="C30" s="300"/>
      <c r="D30" s="300"/>
      <c r="E30" s="300"/>
    </row>
    <row r="31" spans="1:5" x14ac:dyDescent="0.2">
      <c r="A31" s="135" t="s">
        <v>175</v>
      </c>
      <c r="B31" s="135" t="s">
        <v>112</v>
      </c>
      <c r="C31" s="135" t="s">
        <v>180</v>
      </c>
      <c r="D31" s="135" t="s">
        <v>181</v>
      </c>
      <c r="E31" s="135" t="s">
        <v>182</v>
      </c>
    </row>
    <row r="32" spans="1:5" ht="25.5" x14ac:dyDescent="0.2">
      <c r="A32" s="311" t="s">
        <v>183</v>
      </c>
      <c r="B32" s="135" t="s">
        <v>184</v>
      </c>
      <c r="C32" s="135" t="s">
        <v>185</v>
      </c>
      <c r="D32" s="135" t="s">
        <v>186</v>
      </c>
      <c r="E32" s="135" t="s">
        <v>186</v>
      </c>
    </row>
    <row r="33" spans="1:9" ht="25.5" x14ac:dyDescent="0.2">
      <c r="A33" s="311" t="s">
        <v>187</v>
      </c>
      <c r="B33" s="135" t="s">
        <v>113</v>
      </c>
      <c r="C33" s="135" t="s">
        <v>188</v>
      </c>
      <c r="D33" s="135" t="s">
        <v>189</v>
      </c>
      <c r="E33" s="135" t="s">
        <v>189</v>
      </c>
    </row>
    <row r="34" spans="1:9" ht="25.5" x14ac:dyDescent="0.2">
      <c r="A34" s="311" t="s">
        <v>190</v>
      </c>
      <c r="B34" s="135" t="s">
        <v>191</v>
      </c>
      <c r="C34" s="135" t="s">
        <v>192</v>
      </c>
      <c r="D34" s="135" t="s">
        <v>193</v>
      </c>
      <c r="E34" s="135" t="s">
        <v>193</v>
      </c>
    </row>
    <row r="35" spans="1:9" ht="25.5" x14ac:dyDescent="0.2">
      <c r="B35" s="135" t="s">
        <v>194</v>
      </c>
    </row>
    <row r="37" spans="1:9" x14ac:dyDescent="0.2">
      <c r="H37" s="135" t="s">
        <v>102</v>
      </c>
      <c r="I37" s="135" t="s">
        <v>195</v>
      </c>
    </row>
    <row r="38" spans="1:9" ht="102" x14ac:dyDescent="0.2">
      <c r="A38" s="317" t="s">
        <v>196</v>
      </c>
      <c r="B38" s="317" t="s">
        <v>110</v>
      </c>
      <c r="C38" s="317" t="s">
        <v>171</v>
      </c>
      <c r="D38" s="317" t="s">
        <v>197</v>
      </c>
      <c r="E38" s="317" t="s">
        <v>177</v>
      </c>
      <c r="F38" s="317" t="s">
        <v>198</v>
      </c>
      <c r="H38" s="135" t="s">
        <v>196</v>
      </c>
      <c r="I38" s="135" t="s">
        <v>199</v>
      </c>
    </row>
    <row r="39" spans="1:9" ht="63.75" x14ac:dyDescent="0.2">
      <c r="A39" s="313" t="s">
        <v>200</v>
      </c>
      <c r="B39" s="314" t="s">
        <v>201</v>
      </c>
      <c r="C39" s="314" t="s">
        <v>202</v>
      </c>
      <c r="D39" s="313" t="s">
        <v>203</v>
      </c>
      <c r="E39" s="313" t="s">
        <v>204</v>
      </c>
      <c r="F39" s="315" t="s">
        <v>205</v>
      </c>
      <c r="H39" s="135" t="s">
        <v>110</v>
      </c>
      <c r="I39" s="135" t="s">
        <v>206</v>
      </c>
    </row>
    <row r="40" spans="1:9" ht="38.25" x14ac:dyDescent="0.2">
      <c r="A40" s="313" t="s">
        <v>207</v>
      </c>
      <c r="B40" s="314" t="s">
        <v>111</v>
      </c>
      <c r="C40" s="314" t="s">
        <v>208</v>
      </c>
      <c r="D40" s="316" t="s">
        <v>209</v>
      </c>
      <c r="E40" s="316" t="s">
        <v>210</v>
      </c>
      <c r="F40" s="313" t="s">
        <v>211</v>
      </c>
      <c r="H40" s="135" t="s">
        <v>171</v>
      </c>
      <c r="I40" s="135" t="s">
        <v>212</v>
      </c>
    </row>
    <row r="41" spans="1:9" ht="28.5" x14ac:dyDescent="0.2">
      <c r="A41" s="313" t="s">
        <v>213</v>
      </c>
      <c r="B41" s="314" t="s">
        <v>214</v>
      </c>
      <c r="C41" s="314" t="s">
        <v>215</v>
      </c>
      <c r="D41" s="316" t="s">
        <v>216</v>
      </c>
      <c r="E41" s="316" t="s">
        <v>217</v>
      </c>
      <c r="F41" s="316" t="s">
        <v>218</v>
      </c>
      <c r="H41" s="135" t="s">
        <v>197</v>
      </c>
      <c r="I41" s="135" t="s">
        <v>219</v>
      </c>
    </row>
    <row r="42" spans="1:9" ht="28.5" x14ac:dyDescent="0.2">
      <c r="A42" s="313" t="s">
        <v>220</v>
      </c>
      <c r="B42" s="314" t="s">
        <v>221</v>
      </c>
      <c r="C42" s="314" t="s">
        <v>222</v>
      </c>
      <c r="D42" s="316" t="s">
        <v>223</v>
      </c>
      <c r="E42" s="316" t="s">
        <v>224</v>
      </c>
      <c r="F42" s="316" t="s">
        <v>225</v>
      </c>
      <c r="H42" s="135" t="s">
        <v>177</v>
      </c>
      <c r="I42" s="135" t="s">
        <v>226</v>
      </c>
    </row>
    <row r="43" spans="1:9" ht="25.5" x14ac:dyDescent="0.2">
      <c r="A43" s="313" t="s">
        <v>227</v>
      </c>
      <c r="B43" s="312"/>
      <c r="C43" s="312"/>
      <c r="D43" s="316" t="s">
        <v>228</v>
      </c>
      <c r="E43" s="312"/>
      <c r="F43" s="312"/>
      <c r="H43" s="135" t="s">
        <v>198</v>
      </c>
      <c r="I43" s="135" t="s">
        <v>229</v>
      </c>
    </row>
    <row r="44" spans="1:9" ht="28.5" x14ac:dyDescent="0.2">
      <c r="A44" s="313" t="s">
        <v>230</v>
      </c>
      <c r="B44" s="312"/>
      <c r="C44" s="312"/>
      <c r="D44" s="312"/>
      <c r="E44" s="312"/>
      <c r="F44" s="312"/>
    </row>
    <row r="45" spans="1:9" ht="42.75" x14ac:dyDescent="0.2">
      <c r="A45" s="313" t="s">
        <v>231</v>
      </c>
      <c r="B45" s="312"/>
      <c r="C45" s="312"/>
      <c r="D45" s="312"/>
      <c r="E45" s="312"/>
      <c r="F45" s="312"/>
    </row>
    <row r="46" spans="1:9" ht="28.5" x14ac:dyDescent="0.2">
      <c r="A46" s="313" t="s">
        <v>232</v>
      </c>
      <c r="B46" s="312"/>
      <c r="C46" s="312"/>
      <c r="D46" s="312"/>
      <c r="E46" s="312"/>
      <c r="F46" s="312"/>
    </row>
    <row r="47" spans="1:9" ht="28.5" x14ac:dyDescent="0.2">
      <c r="A47" s="313" t="s">
        <v>233</v>
      </c>
      <c r="B47" s="312"/>
      <c r="C47" s="312"/>
      <c r="D47" s="312"/>
      <c r="E47" s="312"/>
      <c r="F47" s="312"/>
    </row>
    <row r="50" spans="1:4" x14ac:dyDescent="0.2">
      <c r="A50" s="426" t="s">
        <v>234</v>
      </c>
      <c r="B50" s="427"/>
      <c r="C50" s="319" t="s">
        <v>235</v>
      </c>
      <c r="D50" s="319" t="s">
        <v>236</v>
      </c>
    </row>
    <row r="51" spans="1:4" ht="14.25" x14ac:dyDescent="0.2">
      <c r="A51" s="434" t="s">
        <v>237</v>
      </c>
      <c r="B51" s="318" t="s">
        <v>140</v>
      </c>
      <c r="C51" s="320">
        <v>0.25</v>
      </c>
      <c r="D51" s="320" t="s">
        <v>146</v>
      </c>
    </row>
    <row r="52" spans="1:4" ht="14.25" x14ac:dyDescent="0.2">
      <c r="A52" s="435"/>
      <c r="B52" s="318" t="s">
        <v>151</v>
      </c>
      <c r="C52" s="320">
        <v>0.15</v>
      </c>
      <c r="D52" s="320" t="s">
        <v>146</v>
      </c>
    </row>
    <row r="53" spans="1:4" ht="14.25" x14ac:dyDescent="0.2">
      <c r="A53" s="436"/>
      <c r="B53" s="318" t="s">
        <v>162</v>
      </c>
      <c r="C53" s="320">
        <v>0.1</v>
      </c>
      <c r="D53" s="320" t="s">
        <v>165</v>
      </c>
    </row>
    <row r="54" spans="1:4" ht="14.25" x14ac:dyDescent="0.2">
      <c r="A54" s="318" t="s">
        <v>238</v>
      </c>
      <c r="B54" s="318" t="s">
        <v>141</v>
      </c>
      <c r="C54" s="320">
        <v>0.25</v>
      </c>
    </row>
    <row r="55" spans="1:4" ht="23.25" x14ac:dyDescent="0.2">
      <c r="A55" s="318" t="s">
        <v>239</v>
      </c>
      <c r="B55" s="318" t="s">
        <v>152</v>
      </c>
      <c r="C55" s="320">
        <v>0.15</v>
      </c>
    </row>
    <row r="58" spans="1:4" ht="15" x14ac:dyDescent="0.25">
      <c r="A58" t="s">
        <v>240</v>
      </c>
      <c r="B58"/>
      <c r="C58"/>
    </row>
    <row r="59" spans="1:4" x14ac:dyDescent="0.2">
      <c r="A59" s="426" t="s">
        <v>234</v>
      </c>
      <c r="B59" s="427"/>
      <c r="C59" s="323" t="s">
        <v>195</v>
      </c>
    </row>
    <row r="60" spans="1:4" ht="80.45" customHeight="1" x14ac:dyDescent="0.2">
      <c r="A60" s="428" t="s">
        <v>130</v>
      </c>
      <c r="B60" s="313" t="s">
        <v>142</v>
      </c>
      <c r="C60" s="313" t="s">
        <v>241</v>
      </c>
    </row>
    <row r="61" spans="1:4" ht="34.5" customHeight="1" x14ac:dyDescent="0.2">
      <c r="A61" s="429"/>
      <c r="B61" s="313" t="s">
        <v>153</v>
      </c>
      <c r="C61" s="313" t="s">
        <v>242</v>
      </c>
    </row>
    <row r="62" spans="1:4" ht="34.5" customHeight="1" x14ac:dyDescent="0.2">
      <c r="A62" s="430"/>
      <c r="B62" s="313" t="s">
        <v>163</v>
      </c>
      <c r="C62" s="313" t="s">
        <v>243</v>
      </c>
    </row>
    <row r="63" spans="1:4" ht="12.75" customHeight="1" x14ac:dyDescent="0.2">
      <c r="A63" s="313" t="s">
        <v>131</v>
      </c>
      <c r="B63" s="313" t="s">
        <v>244</v>
      </c>
      <c r="C63" s="313" t="s">
        <v>245</v>
      </c>
    </row>
    <row r="64" spans="1:4" ht="14.25" x14ac:dyDescent="0.2">
      <c r="A64" s="313"/>
      <c r="B64" s="313" t="s">
        <v>246</v>
      </c>
      <c r="C64" s="313"/>
    </row>
    <row r="65" spans="1:3" ht="14.25" x14ac:dyDescent="0.2">
      <c r="A65" s="313"/>
      <c r="B65" s="313" t="s">
        <v>247</v>
      </c>
      <c r="C65" s="313"/>
    </row>
    <row r="66" spans="1:3" ht="14.25" x14ac:dyDescent="0.2">
      <c r="A66" s="313"/>
      <c r="B66" s="313" t="s">
        <v>248</v>
      </c>
      <c r="C66" s="313"/>
    </row>
    <row r="67" spans="1:3" ht="14.25" x14ac:dyDescent="0.2">
      <c r="A67" s="313"/>
      <c r="B67" s="313" t="s">
        <v>249</v>
      </c>
      <c r="C67" s="313"/>
    </row>
    <row r="68" spans="1:3" ht="12.75" customHeight="1" x14ac:dyDescent="0.2">
      <c r="A68" s="313" t="s">
        <v>250</v>
      </c>
      <c r="B68" s="313" t="s">
        <v>144</v>
      </c>
      <c r="C68" s="313" t="s">
        <v>251</v>
      </c>
    </row>
    <row r="69" spans="1:3" ht="14.25" x14ac:dyDescent="0.2">
      <c r="A69" s="313"/>
      <c r="B69" s="313" t="s">
        <v>155</v>
      </c>
      <c r="C69" s="313"/>
    </row>
    <row r="70" spans="1:3" ht="38.25" x14ac:dyDescent="0.2">
      <c r="A70" s="313" t="s">
        <v>252</v>
      </c>
      <c r="B70" s="313" t="s">
        <v>145</v>
      </c>
      <c r="C70" s="313" t="s">
        <v>253</v>
      </c>
    </row>
    <row r="71" spans="1:3" ht="69" customHeight="1" x14ac:dyDescent="0.2">
      <c r="A71" s="313"/>
      <c r="B71" s="313" t="s">
        <v>254</v>
      </c>
      <c r="C71" s="313" t="s">
        <v>255</v>
      </c>
    </row>
    <row r="72" spans="1:3" ht="34.5" customHeight="1" x14ac:dyDescent="0.2">
      <c r="A72" s="313"/>
      <c r="B72" s="313" t="s">
        <v>164</v>
      </c>
      <c r="C72" s="313" t="s">
        <v>256</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79998168889431442"/>
  </sheetPr>
  <dimension ref="A1:XER49"/>
  <sheetViews>
    <sheetView showGridLines="0" zoomScale="64" zoomScaleNormal="64" workbookViewId="0">
      <pane ySplit="8" topLeftCell="A9" activePane="bottomLeft" state="frozen"/>
      <selection pane="bottomLeft" activeCell="I15" sqref="I15"/>
    </sheetView>
  </sheetViews>
  <sheetFormatPr baseColWidth="10" defaultColWidth="0" defaultRowHeight="14.25" x14ac:dyDescent="0.25"/>
  <cols>
    <col min="1" max="1" width="27.140625" style="4" customWidth="1"/>
    <col min="2" max="2" width="24.42578125" style="4" customWidth="1"/>
    <col min="3" max="3" width="28.85546875" style="4" customWidth="1"/>
    <col min="4" max="4" width="21.28515625" style="4" customWidth="1"/>
    <col min="5" max="5" width="60.7109375" style="4" customWidth="1"/>
    <col min="6" max="6" width="21.42578125" style="4" customWidth="1"/>
    <col min="7" max="7" width="34" style="4" customWidth="1"/>
    <col min="8" max="8" width="26" style="4" customWidth="1"/>
    <col min="9" max="9" width="28.42578125" style="4" customWidth="1"/>
    <col min="10" max="10" width="43" style="4" customWidth="1"/>
    <col min="11" max="11" width="20.28515625" style="4" customWidth="1"/>
    <col min="12" max="12" width="11.42578125" style="4" customWidth="1"/>
    <col min="13" max="24" width="11.42578125" style="4" hidden="1"/>
    <col min="25" max="25" width="8.140625" style="4" hidden="1"/>
    <col min="26" max="30" width="32.42578125" style="4" hidden="1"/>
    <col min="31" max="16372" width="11.42578125" style="4" hidden="1"/>
    <col min="16373" max="16384" width="25.42578125" style="4" hidden="1"/>
  </cols>
  <sheetData>
    <row r="1" spans="1:11" s="3" customFormat="1" ht="36.950000000000003" customHeight="1" x14ac:dyDescent="0.2">
      <c r="A1" s="441" t="s">
        <v>93</v>
      </c>
      <c r="B1" s="441"/>
      <c r="C1" s="441"/>
      <c r="D1" s="441"/>
      <c r="E1" s="441"/>
      <c r="F1" s="441"/>
      <c r="G1" s="441"/>
      <c r="H1" s="441"/>
      <c r="I1" s="441"/>
      <c r="J1" s="441"/>
      <c r="K1" s="441"/>
    </row>
    <row r="2" spans="1:11" s="3" customFormat="1" ht="37.5" customHeight="1" x14ac:dyDescent="0.2">
      <c r="A2" s="341" t="s">
        <v>94</v>
      </c>
      <c r="B2" s="341">
        <v>1</v>
      </c>
      <c r="C2" s="437"/>
      <c r="D2" s="438"/>
      <c r="E2" s="438"/>
      <c r="F2" s="438"/>
      <c r="G2" s="438"/>
      <c r="H2" s="438"/>
      <c r="I2" s="438"/>
      <c r="J2" s="438"/>
      <c r="K2" s="439"/>
    </row>
    <row r="3" spans="1:11" s="3" customFormat="1" ht="3.95" customHeight="1" x14ac:dyDescent="0.2">
      <c r="A3" s="442"/>
      <c r="B3" s="443"/>
      <c r="C3" s="443"/>
      <c r="D3" s="443"/>
      <c r="E3" s="443"/>
      <c r="F3" s="443"/>
      <c r="G3" s="443"/>
      <c r="H3" s="443"/>
      <c r="I3" s="443"/>
      <c r="J3" s="443"/>
      <c r="K3" s="444"/>
    </row>
    <row r="4" spans="1:11" ht="27" customHeight="1" x14ac:dyDescent="0.25">
      <c r="A4" s="12" t="s">
        <v>95</v>
      </c>
      <c r="B4" s="448" t="s">
        <v>372</v>
      </c>
      <c r="C4" s="449"/>
      <c r="D4" s="335"/>
      <c r="E4" s="12" t="s">
        <v>96</v>
      </c>
      <c r="F4" s="445" t="s">
        <v>370</v>
      </c>
      <c r="G4" s="446"/>
      <c r="H4" s="447"/>
      <c r="I4" s="307" t="s">
        <v>16</v>
      </c>
      <c r="J4" s="339" t="s">
        <v>400</v>
      </c>
      <c r="K4" s="340"/>
    </row>
    <row r="5" spans="1:11" ht="108.75" customHeight="1" x14ac:dyDescent="0.25">
      <c r="A5" s="308" t="s">
        <v>97</v>
      </c>
      <c r="B5" s="450" t="s">
        <v>399</v>
      </c>
      <c r="C5" s="451"/>
      <c r="D5" s="452"/>
      <c r="E5" s="342" t="s">
        <v>371</v>
      </c>
      <c r="F5" s="343" t="s">
        <v>98</v>
      </c>
      <c r="G5" s="344" t="s">
        <v>368</v>
      </c>
      <c r="H5" s="345"/>
      <c r="I5" s="346" t="s">
        <v>99</v>
      </c>
      <c r="J5" s="338" t="s">
        <v>369</v>
      </c>
      <c r="K5" s="338"/>
    </row>
    <row r="6" spans="1:11" ht="15" x14ac:dyDescent="0.25">
      <c r="F6" s="223"/>
      <c r="G6" s="224"/>
      <c r="H6" s="224"/>
      <c r="I6" s="225"/>
      <c r="J6" s="226"/>
    </row>
    <row r="7" spans="1:11" ht="21" customHeight="1" x14ac:dyDescent="0.25">
      <c r="A7" s="440" t="s">
        <v>100</v>
      </c>
      <c r="B7" s="440" t="s">
        <v>101</v>
      </c>
      <c r="C7" s="440"/>
      <c r="D7" s="440"/>
      <c r="E7" s="440"/>
    </row>
    <row r="8" spans="1:11" ht="65.25" customHeight="1" x14ac:dyDescent="0.25">
      <c r="A8" s="440"/>
      <c r="B8" s="141" t="s">
        <v>102</v>
      </c>
      <c r="C8" s="141" t="s">
        <v>103</v>
      </c>
      <c r="D8" s="141" t="s">
        <v>104</v>
      </c>
      <c r="E8" s="141" t="s">
        <v>105</v>
      </c>
      <c r="F8" s="310" t="s">
        <v>106</v>
      </c>
      <c r="G8" s="308" t="s">
        <v>22</v>
      </c>
      <c r="H8" s="308" t="s">
        <v>107</v>
      </c>
      <c r="I8" s="308" t="s">
        <v>108</v>
      </c>
      <c r="J8" s="308" t="s">
        <v>28</v>
      </c>
      <c r="K8" s="331" t="s">
        <v>109</v>
      </c>
    </row>
    <row r="9" spans="1:11" s="5" customFormat="1" ht="194.25" customHeight="1" x14ac:dyDescent="0.25">
      <c r="A9" s="1" t="s">
        <v>389</v>
      </c>
      <c r="B9" s="2" t="s">
        <v>196</v>
      </c>
      <c r="C9" s="2" t="s">
        <v>200</v>
      </c>
      <c r="D9" s="159" t="str">
        <f>+IF(B9='[3]11 FORMULAS'!$B$4,'[3]11 FORMULAS'!$C$4,IF(B9='[3]11 FORMULAS'!$B$6,'[3]11 FORMULAS'!$C$6,IF(B9='[3]11 FORMULAS'!$B$8,'[3]11 FORMULAS'!$C$8,IF(B9='[3]11 FORMULAS'!$B$10,'[3]11 FORMULAS'!$C$10,""))))</f>
        <v/>
      </c>
      <c r="E9" s="309"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175</v>
      </c>
      <c r="G9" s="358" t="s">
        <v>187</v>
      </c>
      <c r="H9" s="358" t="s">
        <v>402</v>
      </c>
      <c r="I9" s="358" t="s">
        <v>378</v>
      </c>
      <c r="J9" s="356" t="str">
        <f>(CONCATENATE(Tabla1[[#This Row],[¿QUÉ? 
IMPACTO]]," ","por",Tabla1[[#This Row],[¿CÓMO?
CAUSA INMEDIATA 
(Iniciar con la palabra 
por)]]," ","a causa de"," ",Tabla1[[#This Row],[¿PORQUÉ?
CAUSA RAÍZ
(Iniciar con 
debido a/a causa de)]]))</f>
        <v>Posibilidad de afectación reputacional porpor insatisfacción de los grupos de valor a causa de una orientación inadecuada en la prestación del servicio</v>
      </c>
      <c r="K9" s="334"/>
    </row>
    <row r="10" spans="1:11" ht="93" customHeight="1" x14ac:dyDescent="0.25">
      <c r="A10" s="1" t="s">
        <v>390</v>
      </c>
      <c r="B10" s="2" t="s">
        <v>196</v>
      </c>
      <c r="C10" s="2" t="s">
        <v>200</v>
      </c>
      <c r="D10" s="159" t="str">
        <f>+IF(B10='11 FORMULAS'!$B$4,'11 FORMULAS'!$C$4,IF(B10='11 FORMULAS'!$B$6,'11 FORMULAS'!$C$6,IF(B10='11 FORMULAS'!$B$8,'11 FORMULAS'!$C$8,IF(B10='11 FORMULAS'!$B$10,'11 FORMULAS'!$C$10,""))))</f>
        <v/>
      </c>
      <c r="E10" s="309" t="str">
        <f>+IFERROR(VLOOKUP(B10,Tabla3[],2,0),"")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0" s="1" t="s">
        <v>175</v>
      </c>
      <c r="G10" s="358" t="s">
        <v>187</v>
      </c>
      <c r="H10" s="358" t="s">
        <v>403</v>
      </c>
      <c r="I10" s="358" t="s">
        <v>404</v>
      </c>
      <c r="J10" s="356" t="str">
        <f>(CONCATENATE(Tabla1[[#This Row],[¿QUÉ? 
IMPACTO]]," ","por",Tabla1[[#This Row],[¿CÓMO?
CAUSA INMEDIATA 
(Iniciar con la palabra 
por)]]," ","a causa de"," ",Tabla1[[#This Row],[¿PORQUÉ?
CAUSA RAÍZ
(Iniciar con 
debido a/a causa de)]]))</f>
        <v>Posibilidad de afectación reputacional porinsatisfacción de los grupos de valor y/o sanciones de entes de control a causa de incumplimiento de los términos de ley para la gestión de solicitudes.</v>
      </c>
      <c r="K10" s="335"/>
    </row>
    <row r="11" spans="1:11" ht="124.5" customHeight="1" x14ac:dyDescent="0.25">
      <c r="A11" s="1" t="s">
        <v>391</v>
      </c>
      <c r="B11" s="2" t="s">
        <v>196</v>
      </c>
      <c r="C11" s="2" t="s">
        <v>200</v>
      </c>
      <c r="D11" s="159" t="str">
        <f>+IF(B11='11 FORMULAS'!$B$4,'11 FORMULAS'!$C$4,IF(B11='11 FORMULAS'!$B$6,'11 FORMULAS'!$C$6,IF(B11='11 FORMULAS'!$B$8,'11 FORMULAS'!$C$8,IF(B11='11 FORMULAS'!$B$10,'11 FORMULAS'!$C$10,""))))</f>
        <v/>
      </c>
      <c r="E11" s="309"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1" t="s">
        <v>175</v>
      </c>
      <c r="G11" s="358" t="s">
        <v>187</v>
      </c>
      <c r="H11" s="358" t="s">
        <v>405</v>
      </c>
      <c r="I11" s="358" t="s">
        <v>406</v>
      </c>
      <c r="J11" s="356" t="str">
        <f>(CONCATENATE(Tabla1[[#This Row],[¿QUÉ? 
IMPACTO]]," ","por",Tabla1[[#This Row],[¿CÓMO?
CAUSA INMEDIATA 
(Iniciar con la palabra 
por)]]," ","a causa de"," ",Tabla1[[#This Row],[¿PORQUÉ?
CAUSA RAÍZ
(Iniciar con 
debido a/a causa de)]]))</f>
        <v>Posibilidad de afectación reputacional porfalta de comunicación y credibilidad en la SES a causa de la publicación de información emitida sin la correcta divulgación al interior de la entidad.</v>
      </c>
      <c r="K11" s="335"/>
    </row>
    <row r="12" spans="1:11" ht="143.25" customHeight="1" x14ac:dyDescent="0.25">
      <c r="A12" s="1" t="s">
        <v>392</v>
      </c>
      <c r="B12" s="2" t="s">
        <v>196</v>
      </c>
      <c r="C12" s="2" t="s">
        <v>200</v>
      </c>
      <c r="D12" s="159" t="str">
        <f>+IF(B12='11 FORMULAS'!$B$4,'11 FORMULAS'!$C$4,IF(B12='11 FORMULAS'!$B$6,'11 FORMULAS'!$C$6,IF(B12='11 FORMULAS'!$B$8,'11 FORMULAS'!$C$8,IF(B12='11 FORMULAS'!$B$10,'11 FORMULAS'!$C$10,""))))</f>
        <v/>
      </c>
      <c r="E12" s="309" t="str">
        <f>+IFERROR(VLOOKUP(B12,Tabla3[],2,0),"")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2" s="1" t="s">
        <v>175</v>
      </c>
      <c r="G12" s="358" t="s">
        <v>190</v>
      </c>
      <c r="H12" s="358" t="s">
        <v>388</v>
      </c>
      <c r="I12" s="358" t="s">
        <v>387</v>
      </c>
      <c r="J12" s="356" t="str">
        <f>(CONCATENATE(Tabla1[[#This Row],[¿QUÉ? 
IMPACTO]]," ","por",Tabla1[[#This Row],[¿CÓMO?
CAUSA INMEDIATA 
(Iniciar con la palabra 
por)]]," ","a causa de"," ",Tabla1[[#This Row],[¿PORQUÉ?
CAUSA RAÍZ
(Iniciar con 
debido a/a causa de)]]))</f>
        <v>Posibilidad de afectación económica y reputacional porafectación a los asistentes a actividades organizadas por la SES a causa de falta de planeación previa a la ejecución de las actividades organizadas con 100 o hasta 500 personas.</v>
      </c>
      <c r="K12" s="335"/>
    </row>
    <row r="13" spans="1:11" ht="249.75" customHeight="1" x14ac:dyDescent="0.25">
      <c r="A13" s="1" t="s">
        <v>393</v>
      </c>
      <c r="B13" s="2" t="s">
        <v>171</v>
      </c>
      <c r="C13" s="2" t="s">
        <v>208</v>
      </c>
      <c r="D13" s="159" t="str">
        <f>+IF(B13='11 FORMULAS'!$B$4,'11 FORMULAS'!$C$4,IF(B13='11 FORMULAS'!$B$6,'11 FORMULAS'!$C$6,IF(B13='11 FORMULAS'!$B$8,'11 FORMULAS'!$C$8,IF(B13='11 FORMULAS'!$B$10,'11 FORMULAS'!$C$10,""))))</f>
        <v/>
      </c>
      <c r="E13" s="309" t="str">
        <f>+IFERROR(VLOOKUP(B13,Tabla3[],2,0),"")</f>
        <v>Eventos relacionados con las conductas o comportamientos de los empleados que afectan la Integridad Pública</v>
      </c>
      <c r="F13" s="1" t="s">
        <v>181</v>
      </c>
      <c r="G13" s="358" t="s">
        <v>189</v>
      </c>
      <c r="H13" s="358" t="s">
        <v>407</v>
      </c>
      <c r="I13" s="358" t="s">
        <v>408</v>
      </c>
      <c r="J13" s="356" t="str">
        <f>(CONCATENATE(Tabla1[[#This Row],[¿QUÉ? 
IMPACTO]]," ","por",Tabla1[[#This Row],[¿CÓMO?
CAUSA INMEDIATA 
(Iniciar con la palabra 
por)]]," ","a causa de"," ",Tabla1[[#This Row],[¿PORQUÉ?
CAUSA RAÍZ
(Iniciar con 
debido a/a causa de)]]))</f>
        <v>Posibilidad de pérdida reputacional porsolicitar o recibir dádivas para adelantar trámites ante la Supersolidaria a causa de desconocimiento de los servicios dispuestos por la SES por parte de las entidades de economía solidaria, asociados y ciudadanía en general en la solicitud de trámites.</v>
      </c>
      <c r="K13" s="335"/>
    </row>
    <row r="14" spans="1:11" s="6" customFormat="1" ht="222.75" customHeight="1" x14ac:dyDescent="0.25">
      <c r="A14" s="1" t="s">
        <v>394</v>
      </c>
      <c r="B14" s="2" t="s">
        <v>171</v>
      </c>
      <c r="C14" s="2" t="s">
        <v>208</v>
      </c>
      <c r="D14" s="159" t="str">
        <f>+IF(B14='11 FORMULAS'!$B$4,'11 FORMULAS'!$C$4,IF(B14='11 FORMULAS'!$B$6,'11 FORMULAS'!$C$6,IF(B14='11 FORMULAS'!$B$8,'11 FORMULAS'!$C$8,IF(B14='11 FORMULAS'!$B$10,'11 FORMULAS'!$C$10,""))))</f>
        <v/>
      </c>
      <c r="E14" s="309" t="str">
        <f>+IFERROR(VLOOKUP(B14,Tabla3[],2,0),"")</f>
        <v>Eventos relacionados con las conductas o comportamientos de los empleados que afectan la Integridad Pública</v>
      </c>
      <c r="F14" s="1" t="s">
        <v>181</v>
      </c>
      <c r="G14" s="358" t="s">
        <v>189</v>
      </c>
      <c r="H14" s="358" t="s">
        <v>409</v>
      </c>
      <c r="I14" s="358" t="s">
        <v>410</v>
      </c>
      <c r="J14" s="356" t="str">
        <f>(CONCATENATE(Tabla1[[#This Row],[¿QUÉ? 
IMPACTO]]," ","por",Tabla1[[#This Row],[¿CÓMO?
CAUSA INMEDIATA 
(Iniciar con la palabra 
por)]]," ","a causa de"," ",Tabla1[[#This Row],[¿PORQUÉ?
CAUSA RAÍZ
(Iniciar con 
debido a/a causa de)]]))</f>
        <v>Posibilidad de pérdida reputacional porfalta de interiorización de los valores institucionales señalados en el Código de Integridad por parte de los servidores de la entidad a causa de desconocimiento y/o falta de apropiación de la politica de conflictos de interés de la SES lo que podria generar recibir beneficios particulares o para un tercero por suministrar a traves de los canales de atención y comunicación de la SES información especifica de alguna organización solidaria vigilada o sus asociados.</v>
      </c>
      <c r="K14" s="336"/>
    </row>
    <row r="15" spans="1:11" s="6" customFormat="1" ht="228" customHeight="1" x14ac:dyDescent="0.25">
      <c r="A15" s="1" t="s">
        <v>395</v>
      </c>
      <c r="B15" s="2" t="s">
        <v>171</v>
      </c>
      <c r="C15" s="2" t="s">
        <v>208</v>
      </c>
      <c r="D15" s="159" t="str">
        <f>+IF(B15='11 FORMULAS'!$B$4,'11 FORMULAS'!$C$4,IF(B15='11 FORMULAS'!$B$6,'11 FORMULAS'!$C$6,IF(B15='11 FORMULAS'!$B$8,'11 FORMULAS'!$C$8,IF(B15='11 FORMULAS'!$B$10,'11 FORMULAS'!$C$10,""))))</f>
        <v/>
      </c>
      <c r="E15" s="309" t="str">
        <f>+IFERROR(VLOOKUP(B15,Tabla3[],2,0),"")</f>
        <v>Eventos relacionados con las conductas o comportamientos de los empleados que afectan la Integridad Pública</v>
      </c>
      <c r="F15" s="1" t="s">
        <v>181</v>
      </c>
      <c r="G15" s="358" t="s">
        <v>189</v>
      </c>
      <c r="H15" s="358" t="s">
        <v>411</v>
      </c>
      <c r="I15" s="358" t="s">
        <v>412</v>
      </c>
      <c r="J15" s="356" t="str">
        <f>(CONCATENATE(Tabla1[[#This Row],[¿QUÉ? 
IMPACTO]]," ","por",Tabla1[[#This Row],[¿CÓMO?
CAUSA INMEDIATA 
(Iniciar con la palabra 
por)]]," ","a causa de"," ",Tabla1[[#This Row],[¿PORQUÉ?
CAUSA RAÍZ
(Iniciar con 
debido a/a causa de)]]))</f>
        <v>Posibilidad de pérdida reputacional porrecibir un beneficio particular o para un tercero a causa de suministrar a través de los canales de atención y comunicación de la SES información especifica de alguna organización solidaria vigilada o sus asociados.</v>
      </c>
      <c r="K15" s="336"/>
    </row>
    <row r="16" spans="1:11" s="6" customFormat="1" ht="93" hidden="1" customHeight="1" x14ac:dyDescent="0.25">
      <c r="A16" s="1" t="s">
        <v>114</v>
      </c>
      <c r="B16" s="2"/>
      <c r="C16" s="2"/>
      <c r="D16" s="159" t="str">
        <f>+IF(B16='11 FORMULAS'!$B$4,'11 FORMULAS'!$C$4,IF(B16='11 FORMULAS'!$B$6,'11 FORMULAS'!$C$6,IF(B16='11 FORMULAS'!$B$8,'11 FORMULAS'!$C$8,IF(B16='11 FORMULAS'!$B$10,'11 FORMULAS'!$C$10,""))))</f>
        <v/>
      </c>
      <c r="E16" s="309" t="str">
        <f>+IFERROR(VLOOKUP(B16,Tabla3[],2,0),"")</f>
        <v/>
      </c>
      <c r="F16" s="1"/>
      <c r="G16" s="1"/>
      <c r="H16" s="1"/>
      <c r="I16" s="1"/>
      <c r="J16" s="337" t="str">
        <f>(CONCATENATE(Tabla1[[#This Row],[¿QUÉ? 
IMPACTO]]," ","por",Tabla1[[#This Row],[¿CÓMO?
CAUSA INMEDIATA 
(Iniciar con la palabra 
por)]]," ","a causa de"," ",Tabla1[[#This Row],[¿PORQUÉ?
CAUSA RAÍZ
(Iniciar con 
debido a/a causa de)]]))</f>
        <v xml:space="preserve"> por a causa de </v>
      </c>
      <c r="K16" s="336"/>
    </row>
    <row r="17" spans="1:11" s="6" customFormat="1" ht="93" hidden="1" customHeight="1" x14ac:dyDescent="0.25">
      <c r="A17" s="1" t="s">
        <v>115</v>
      </c>
      <c r="B17" s="2"/>
      <c r="C17" s="2"/>
      <c r="D17" s="159" t="str">
        <f>+IF(B17='11 FORMULAS'!$B$4,'11 FORMULAS'!$C$4,IF(B17='11 FORMULAS'!$B$6,'11 FORMULAS'!$C$6,IF(B17='11 FORMULAS'!$B$8,'11 FORMULAS'!$C$8,IF(B17='11 FORMULAS'!$B$10,'11 FORMULAS'!$C$10,""))))</f>
        <v/>
      </c>
      <c r="E17" s="309" t="str">
        <f>+IFERROR(VLOOKUP(B17,Tabla3[],2,0),"")</f>
        <v/>
      </c>
      <c r="F17" s="1"/>
      <c r="G17" s="1"/>
      <c r="H17" s="1"/>
      <c r="I17" s="1"/>
      <c r="J17" s="337" t="str">
        <f>(CONCATENATE(Tabla1[[#This Row],[¿QUÉ? 
IMPACTO]]," ","por",Tabla1[[#This Row],[¿CÓMO?
CAUSA INMEDIATA 
(Iniciar con la palabra 
por)]]," ","a causa de"," ",Tabla1[[#This Row],[¿PORQUÉ?
CAUSA RAÍZ
(Iniciar con 
debido a/a causa de)]]))</f>
        <v xml:space="preserve"> por a causa de </v>
      </c>
      <c r="K17" s="336"/>
    </row>
    <row r="18" spans="1:11" s="6" customFormat="1" ht="93" hidden="1" customHeight="1" x14ac:dyDescent="0.25">
      <c r="A18" s="1" t="s">
        <v>116</v>
      </c>
      <c r="B18" s="2"/>
      <c r="C18" s="2"/>
      <c r="D18" s="159" t="str">
        <f>+IF(B18='11 FORMULAS'!$B$4,'11 FORMULAS'!$C$4,IF(B18='11 FORMULAS'!$B$6,'11 FORMULAS'!$C$6,IF(B18='11 FORMULAS'!$B$8,'11 FORMULAS'!$C$8,IF(B18='11 FORMULAS'!$B$10,'11 FORMULAS'!$C$10,""))))</f>
        <v/>
      </c>
      <c r="E18" s="309" t="str">
        <f>+IFERROR(VLOOKUP(B18,Tabla3[],2,0),"")</f>
        <v/>
      </c>
      <c r="F18" s="1"/>
      <c r="G18" s="1"/>
      <c r="H18" s="1"/>
      <c r="I18" s="1"/>
      <c r="J18" s="337" t="str">
        <f>(CONCATENATE(Tabla1[[#This Row],[¿QUÉ? 
IMPACTO]]," ","por",Tabla1[[#This Row],[¿CÓMO?
CAUSA INMEDIATA 
(Iniciar con la palabra 
por)]]," ","a causa de"," ",Tabla1[[#This Row],[¿PORQUÉ?
CAUSA RAÍZ
(Iniciar con 
debido a/a causa de)]]))</f>
        <v xml:space="preserve"> por a causa de </v>
      </c>
      <c r="K18" s="336"/>
    </row>
    <row r="19" spans="1:11" s="6" customFormat="1" ht="93" hidden="1" customHeight="1" x14ac:dyDescent="0.25">
      <c r="A19" s="1" t="s">
        <v>117</v>
      </c>
      <c r="B19" s="2"/>
      <c r="C19" s="2"/>
      <c r="D19" s="159" t="str">
        <f>+IF(B19='11 FORMULAS'!$B$4,'11 FORMULAS'!$C$4,IF(B19='11 FORMULAS'!$B$6,'11 FORMULAS'!$C$6,IF(B19='11 FORMULAS'!$B$8,'11 FORMULAS'!$C$8,IF(B19='11 FORMULAS'!$B$10,'11 FORMULAS'!$C$10,""))))</f>
        <v/>
      </c>
      <c r="E19" s="309" t="str">
        <f>+IFERROR(VLOOKUP(B19,Tabla3[],2,0),"")</f>
        <v/>
      </c>
      <c r="F19" s="1"/>
      <c r="G19" s="1"/>
      <c r="H19" s="1"/>
      <c r="I19" s="1"/>
      <c r="J19" s="337" t="str">
        <f>(CONCATENATE(Tabla1[[#This Row],[¿QUÉ? 
IMPACTO]]," ","por",Tabla1[[#This Row],[¿CÓMO?
CAUSA INMEDIATA 
(Iniciar con la palabra 
por)]]," ","a causa de"," ",Tabla1[[#This Row],[¿PORQUÉ?
CAUSA RAÍZ
(Iniciar con 
debido a/a causa de)]]))</f>
        <v xml:space="preserve"> por a causa de </v>
      </c>
      <c r="K19" s="336"/>
    </row>
    <row r="20" spans="1:11" s="6" customFormat="1" ht="93" hidden="1" customHeight="1" x14ac:dyDescent="0.25">
      <c r="A20" s="1" t="s">
        <v>118</v>
      </c>
      <c r="B20" s="2"/>
      <c r="C20" s="2"/>
      <c r="D20" s="159" t="str">
        <f>+IF(B20='11 FORMULAS'!$B$4,'11 FORMULAS'!$C$4,IF(B20='11 FORMULAS'!$B$6,'11 FORMULAS'!$C$6,IF(B20='11 FORMULAS'!$B$8,'11 FORMULAS'!$C$8,IF(B20='11 FORMULAS'!$B$10,'11 FORMULAS'!$C$10,""))))</f>
        <v/>
      </c>
      <c r="E20" s="309" t="str">
        <f>+IFERROR(VLOOKUP(B20,Tabla3[],2,0),"")</f>
        <v/>
      </c>
      <c r="F20" s="1"/>
      <c r="G20" s="1"/>
      <c r="H20" s="1"/>
      <c r="I20" s="1"/>
      <c r="J20" s="337" t="str">
        <f>(CONCATENATE(Tabla1[[#This Row],[¿QUÉ? 
IMPACTO]]," ","por",Tabla1[[#This Row],[¿CÓMO?
CAUSA INMEDIATA 
(Iniciar con la palabra 
por)]]," ","a causa de"," ",Tabla1[[#This Row],[¿PORQUÉ?
CAUSA RAÍZ
(Iniciar con 
debido a/a causa de)]]))</f>
        <v xml:space="preserve"> por a causa de </v>
      </c>
      <c r="K20" s="336"/>
    </row>
    <row r="21" spans="1:11" s="6" customFormat="1" ht="93" hidden="1" customHeight="1" x14ac:dyDescent="0.25">
      <c r="A21" s="1" t="s">
        <v>119</v>
      </c>
      <c r="B21" s="2"/>
      <c r="C21" s="2"/>
      <c r="D21" s="159" t="str">
        <f>+IF(B21='11 FORMULAS'!$B$4,'11 FORMULAS'!$C$4,IF(B21='11 FORMULAS'!$B$6,'11 FORMULAS'!$C$6,IF(B21='11 FORMULAS'!$B$8,'11 FORMULAS'!$C$8,IF(B21='11 FORMULAS'!$B$10,'11 FORMULAS'!$C$10,""))))</f>
        <v/>
      </c>
      <c r="E21" s="309" t="str">
        <f>+IFERROR(VLOOKUP(B21,Tabla3[],2,0),"")</f>
        <v/>
      </c>
      <c r="F21" s="1"/>
      <c r="G21" s="1"/>
      <c r="H21" s="1"/>
      <c r="I21" s="1"/>
      <c r="J21" s="337" t="str">
        <f>(CONCATENATE(Tabla1[[#This Row],[¿QUÉ? 
IMPACTO]]," ","por",Tabla1[[#This Row],[¿CÓMO?
CAUSA INMEDIATA 
(Iniciar con la palabra 
por)]]," ","a causa de"," ",Tabla1[[#This Row],[¿PORQUÉ?
CAUSA RAÍZ
(Iniciar con 
debido a/a causa de)]]))</f>
        <v xml:space="preserve"> por a causa de </v>
      </c>
      <c r="K21" s="336"/>
    </row>
    <row r="22" spans="1:11" s="6" customFormat="1" ht="93" hidden="1" customHeight="1" x14ac:dyDescent="0.25">
      <c r="A22" s="1" t="s">
        <v>120</v>
      </c>
      <c r="B22" s="2"/>
      <c r="C22" s="2"/>
      <c r="D22" s="159" t="str">
        <f>+IF(B22='11 FORMULAS'!$B$4,'11 FORMULAS'!$C$4,IF(B22='11 FORMULAS'!$B$6,'11 FORMULAS'!$C$6,IF(B22='11 FORMULAS'!$B$8,'11 FORMULAS'!$C$8,IF(B22='11 FORMULAS'!$B$10,'11 FORMULAS'!$C$10,""))))</f>
        <v/>
      </c>
      <c r="E22" s="309" t="str">
        <f>+IFERROR(VLOOKUP(B22,Tabla3[],2,0),"")</f>
        <v/>
      </c>
      <c r="F22" s="1"/>
      <c r="G22" s="1"/>
      <c r="H22" s="1"/>
      <c r="I22" s="1"/>
      <c r="J22" s="337" t="str">
        <f>(CONCATENATE(Tabla1[[#This Row],[¿QUÉ? 
IMPACTO]]," ","por",Tabla1[[#This Row],[¿CÓMO?
CAUSA INMEDIATA 
(Iniciar con la palabra 
por)]]," ","a causa de"," ",Tabla1[[#This Row],[¿PORQUÉ?
CAUSA RAÍZ
(Iniciar con 
debido a/a causa de)]]))</f>
        <v xml:space="preserve"> por a causa de </v>
      </c>
      <c r="K22" s="336"/>
    </row>
    <row r="23" spans="1:11" s="6" customFormat="1" ht="93" hidden="1" customHeight="1" x14ac:dyDescent="0.25">
      <c r="A23" s="1" t="s">
        <v>121</v>
      </c>
      <c r="B23" s="2"/>
      <c r="C23" s="2"/>
      <c r="D23" s="159" t="str">
        <f>+IF(B23='11 FORMULAS'!$B$4,'11 FORMULAS'!$C$4,IF(B23='11 FORMULAS'!$B$6,'11 FORMULAS'!$C$6,IF(B23='11 FORMULAS'!$B$8,'11 FORMULAS'!$C$8,IF(B23='11 FORMULAS'!$B$10,'11 FORMULAS'!$C$10,""))))</f>
        <v/>
      </c>
      <c r="E23" s="309" t="str">
        <f>+IFERROR(VLOOKUP(B23,Tabla3[],2,0),"")</f>
        <v/>
      </c>
      <c r="F23" s="1"/>
      <c r="G23" s="1"/>
      <c r="H23" s="332"/>
      <c r="I23" s="332"/>
      <c r="J23" s="337" t="str">
        <f>(CONCATENATE(Tabla1[[#This Row],[¿QUÉ? 
IMPACTO]]," ","por",Tabla1[[#This Row],[¿CÓMO?
CAUSA INMEDIATA 
(Iniciar con la palabra 
por)]]," ","a causa de"," ",Tabla1[[#This Row],[¿PORQUÉ?
CAUSA RAÍZ
(Iniciar con 
debido a/a causa de)]]))</f>
        <v xml:space="preserve"> por a causa de </v>
      </c>
      <c r="K23" s="336"/>
    </row>
    <row r="24" spans="1:11" s="6" customFormat="1" ht="93" hidden="1" customHeight="1" x14ac:dyDescent="0.25">
      <c r="A24" s="1" t="s">
        <v>122</v>
      </c>
      <c r="B24" s="2"/>
      <c r="C24" s="2"/>
      <c r="D24" s="159" t="str">
        <f>+IF(B24='11 FORMULAS'!$B$4,'11 FORMULAS'!$C$4,IF(B24='11 FORMULAS'!$B$6,'11 FORMULAS'!$C$6,IF(B24='11 FORMULAS'!$B$8,'11 FORMULAS'!$C$8,IF(B24='11 FORMULAS'!$B$10,'11 FORMULAS'!$C$10,""))))</f>
        <v/>
      </c>
      <c r="E24" s="309" t="str">
        <f>+IFERROR(VLOOKUP(B24,Tabla3[],2,0),"")</f>
        <v/>
      </c>
      <c r="F24" s="1"/>
      <c r="G24" s="1"/>
      <c r="H24" s="332"/>
      <c r="I24" s="332"/>
      <c r="J24" s="337" t="str">
        <f>(CONCATENATE(Tabla1[[#This Row],[¿QUÉ? 
IMPACTO]]," ","por",Tabla1[[#This Row],[¿CÓMO?
CAUSA INMEDIATA 
(Iniciar con la palabra 
por)]]," ","a causa de"," ",Tabla1[[#This Row],[¿PORQUÉ?
CAUSA RAÍZ
(Iniciar con 
debido a/a causa de)]]))</f>
        <v xml:space="preserve"> por a causa de </v>
      </c>
      <c r="K24" s="336"/>
    </row>
    <row r="25" spans="1:11" s="6" customFormat="1" ht="93" hidden="1" customHeight="1" x14ac:dyDescent="0.25">
      <c r="A25" s="1" t="s">
        <v>123</v>
      </c>
      <c r="B25" s="2"/>
      <c r="C25" s="2"/>
      <c r="D25" s="159" t="str">
        <f>+IF(B25='11 FORMULAS'!$B$4,'11 FORMULAS'!$C$4,IF(B25='11 FORMULAS'!$B$6,'11 FORMULAS'!$C$6,IF(B25='11 FORMULAS'!$B$8,'11 FORMULAS'!$C$8,IF(B25='11 FORMULAS'!$B$10,'11 FORMULAS'!$C$10,""))))</f>
        <v/>
      </c>
      <c r="E25" s="309" t="str">
        <f>+IFERROR(VLOOKUP(B25,Tabla3[],2,0),"")</f>
        <v/>
      </c>
      <c r="F25" s="1"/>
      <c r="G25" s="1"/>
      <c r="H25" s="333"/>
      <c r="I25" s="333"/>
      <c r="J25" s="337" t="str">
        <f>(CONCATENATE(Tabla1[[#This Row],[¿QUÉ? 
IMPACTO]]," ","por",Tabla1[[#This Row],[¿CÓMO?
CAUSA INMEDIATA 
(Iniciar con la palabra 
por)]]," ","a causa de"," ",Tabla1[[#This Row],[¿PORQUÉ?
CAUSA RAÍZ
(Iniciar con 
debido a/a causa de)]]))</f>
        <v xml:space="preserve"> por a causa de </v>
      </c>
      <c r="K25" s="336"/>
    </row>
    <row r="26" spans="1:11" s="6" customFormat="1" ht="18" x14ac:dyDescent="0.25">
      <c r="F26" s="7"/>
      <c r="G26" s="7"/>
      <c r="H26" s="7"/>
      <c r="I26" s="7"/>
      <c r="J26" s="8"/>
    </row>
    <row r="27" spans="1:11" x14ac:dyDescent="0.2">
      <c r="F27" s="3"/>
      <c r="G27" s="3"/>
      <c r="H27" s="3"/>
      <c r="I27" s="3"/>
    </row>
    <row r="28" spans="1:11" x14ac:dyDescent="0.2">
      <c r="F28" s="3"/>
      <c r="G28" s="3"/>
      <c r="H28" s="3"/>
      <c r="I28" s="3"/>
    </row>
    <row r="29" spans="1:11" x14ac:dyDescent="0.25">
      <c r="F29" s="9"/>
      <c r="G29" s="9"/>
      <c r="H29" s="9"/>
      <c r="I29" s="9"/>
    </row>
    <row r="30" spans="1:11" x14ac:dyDescent="0.2">
      <c r="F30" s="3"/>
      <c r="G30" s="3"/>
      <c r="H30" s="3"/>
      <c r="I30" s="3"/>
    </row>
    <row r="31" spans="1:11" x14ac:dyDescent="0.2">
      <c r="F31" s="3"/>
      <c r="G31" s="3"/>
      <c r="H31" s="3"/>
      <c r="I31" s="3"/>
    </row>
    <row r="32" spans="1:11" x14ac:dyDescent="0.2">
      <c r="F32" s="3"/>
      <c r="G32" s="3"/>
      <c r="H32" s="3"/>
      <c r="I32" s="3"/>
    </row>
    <row r="36" spans="24:26" ht="14.25" customHeight="1" x14ac:dyDescent="0.25"/>
    <row r="40" spans="24:26" ht="14.25" customHeight="1" x14ac:dyDescent="0.25">
      <c r="X40" s="10"/>
    </row>
    <row r="41" spans="24:26" x14ac:dyDescent="0.25">
      <c r="Z41" s="10"/>
    </row>
    <row r="42" spans="24:26" x14ac:dyDescent="0.25">
      <c r="Z42" s="10"/>
    </row>
    <row r="43" spans="24:26" x14ac:dyDescent="0.25">
      <c r="Z43" s="10"/>
    </row>
    <row r="44" spans="24:26" x14ac:dyDescent="0.25">
      <c r="Z44" s="10"/>
    </row>
    <row r="45" spans="24:26" x14ac:dyDescent="0.25">
      <c r="Z45" s="10"/>
    </row>
    <row r="46" spans="24:26" x14ac:dyDescent="0.25">
      <c r="Z46" s="10"/>
    </row>
    <row r="47" spans="24:26" x14ac:dyDescent="0.25">
      <c r="Z47" s="10"/>
    </row>
    <row r="48" spans="24:26" ht="14.25" customHeight="1" x14ac:dyDescent="0.25">
      <c r="Z48" s="10"/>
    </row>
    <row r="49" spans="26:26" x14ac:dyDescent="0.25">
      <c r="Z49" s="10"/>
    </row>
  </sheetData>
  <sheetProtection formatCells="0" formatColumns="0" formatRows="0" sort="0" autoFilter="0" pivotTables="0"/>
  <mergeCells count="8">
    <mergeCell ref="C2:K2"/>
    <mergeCell ref="B7:E7"/>
    <mergeCell ref="A7:A8"/>
    <mergeCell ref="A1:K1"/>
    <mergeCell ref="A3:K3"/>
    <mergeCell ref="F4:H4"/>
    <mergeCell ref="B4:C4"/>
    <mergeCell ref="B5:D5"/>
  </mergeCells>
  <phoneticPr fontId="16" type="noConversion"/>
  <dataValidations count="3">
    <dataValidation type="list" allowBlank="1" showInputMessage="1" showErrorMessage="1" sqref="C9:C25" xr:uid="{D9BA5455-7B14-6A4C-B584-466EF5ACA124}">
      <formula1>INDIRECT(B9)</formula1>
    </dataValidation>
    <dataValidation type="list" allowBlank="1" showInputMessage="1" showErrorMessage="1" sqref="G16:G25" xr:uid="{F434CC6F-8F52-0344-AE71-98053B46C828}">
      <formula1>INDIRECT($F16)</formula1>
    </dataValidation>
    <dataValidation type="list" allowBlank="1" showErrorMessage="1" sqref="G9:G15" xr:uid="{7B3F7683-F019-4AB1-AD31-BCAB9B8DE43D}">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F9:F12 F16:F25</xm:sqref>
        </x14:dataValidation>
        <x14:dataValidation type="list" allowBlank="1" showInputMessage="1" showErrorMessage="1" xr:uid="{00000000-0002-0000-0100-000006000000}">
          <x14:formula1>
            <xm:f>'11 FORMULAS'!$A$38:$F$38</xm:f>
          </x14:formula1>
          <xm:sqref>B16:B25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tabColor theme="9" tint="0.79998168889431442"/>
  </sheetPr>
  <dimension ref="A1:Y28"/>
  <sheetViews>
    <sheetView showGridLines="0" view="pageBreakPreview" zoomScale="90" zoomScaleNormal="55" zoomScaleSheetLayoutView="90" workbookViewId="0">
      <pane ySplit="8" topLeftCell="A9" activePane="bottomLeft" state="frozen"/>
      <selection pane="bottomLeft" activeCell="J10" sqref="J10"/>
    </sheetView>
  </sheetViews>
  <sheetFormatPr baseColWidth="10" defaultColWidth="14.42578125" defaultRowHeight="14.25" x14ac:dyDescent="0.25"/>
  <cols>
    <col min="1" max="1" width="15.42578125" style="4" customWidth="1"/>
    <col min="2" max="2" width="29.42578125" style="37" customWidth="1"/>
    <col min="3" max="3" width="28.42578125" style="37" customWidth="1"/>
    <col min="4" max="4" width="21.140625" style="4" customWidth="1"/>
    <col min="5" max="5" width="14" style="14" customWidth="1"/>
    <col min="6" max="6" width="14.42578125" style="4" customWidth="1"/>
    <col min="7" max="7" width="13.42578125" style="14" customWidth="1"/>
    <col min="8" max="8" width="11.140625" style="14" customWidth="1"/>
    <col min="9" max="9" width="10.42578125" style="14" customWidth="1"/>
    <col min="10" max="10" width="22.42578125" style="14" customWidth="1"/>
    <col min="11" max="12" width="10.140625" style="14" customWidth="1"/>
    <col min="13" max="13" width="9.42578125" style="205" customWidth="1"/>
    <col min="14" max="14" width="11" style="205" bestFit="1" customWidth="1"/>
    <col min="15" max="15" width="8" style="4" customWidth="1"/>
    <col min="16" max="16" width="21.42578125" style="4" customWidth="1"/>
    <col min="17" max="17" width="32.85546875" style="4" customWidth="1"/>
    <col min="18" max="18" width="9.42578125" style="37" customWidth="1"/>
    <col min="19" max="19" width="8.85546875" style="37" customWidth="1"/>
    <col min="20" max="20" width="17.85546875" style="4" customWidth="1"/>
    <col min="21" max="21" width="5.42578125" style="4" customWidth="1"/>
    <col min="22" max="22" width="14.140625" style="4" bestFit="1" customWidth="1"/>
    <col min="23" max="23" width="14.85546875" style="4" bestFit="1" customWidth="1"/>
    <col min="24" max="24" width="24.140625" style="4" customWidth="1"/>
    <col min="25" max="25" width="57.85546875" style="4" customWidth="1"/>
    <col min="26" max="29" width="24.140625" style="4" customWidth="1"/>
    <col min="30" max="256" width="11.42578125" style="4" customWidth="1"/>
    <col min="257" max="257" width="12.42578125" style="4" customWidth="1"/>
    <col min="258" max="258" width="47" style="4" customWidth="1"/>
    <col min="259" max="259" width="35" style="4" customWidth="1"/>
    <col min="260" max="16384" width="14.42578125" style="4"/>
  </cols>
  <sheetData>
    <row r="1" spans="1:25" x14ac:dyDescent="0.25">
      <c r="A1" s="460"/>
      <c r="B1" s="461" t="str">
        <f>+'2 CONTEXTO E IDENTIFICACIÓN'!A1</f>
        <v>MAPA DE RIESGOS</v>
      </c>
      <c r="C1" s="472"/>
      <c r="D1" s="473"/>
      <c r="E1" s="13"/>
      <c r="G1" s="13"/>
      <c r="H1" s="13"/>
      <c r="I1" s="13"/>
      <c r="J1" s="13"/>
      <c r="K1" s="13"/>
      <c r="L1" s="13"/>
      <c r="M1" s="200"/>
      <c r="N1" s="200"/>
    </row>
    <row r="2" spans="1:25" s="3" customFormat="1" ht="51" customHeight="1" x14ac:dyDescent="0.2">
      <c r="A2" s="460"/>
      <c r="B2" s="461"/>
      <c r="C2" s="38" t="str">
        <f>+'2 CONTEXTO E IDENTIFICACIÓN'!A2</f>
        <v>VERSIÓN:</v>
      </c>
      <c r="D2" s="38">
        <f>'2 CONTEXTO E IDENTIFICACIÓN'!B2</f>
        <v>1</v>
      </c>
      <c r="E2" s="13"/>
      <c r="G2" s="214" t="str">
        <f>+'2 CONTEXTO E IDENTIFICACIÓN'!$I$4</f>
        <v>Elaboración o Actualización:</v>
      </c>
      <c r="H2" s="230" t="str">
        <f>'2 CONTEXTO E IDENTIFICACIÓN'!J4</f>
        <v>9 de diciembre de 2025</v>
      </c>
      <c r="I2" s="13"/>
      <c r="J2" s="13"/>
      <c r="K2" s="13"/>
      <c r="L2" s="13"/>
      <c r="M2" s="200"/>
      <c r="N2" s="200"/>
      <c r="R2" s="166"/>
      <c r="S2" s="166"/>
    </row>
    <row r="3" spans="1:25" s="3" customFormat="1" ht="15" x14ac:dyDescent="0.2">
      <c r="A3" s="227"/>
      <c r="B3" s="15"/>
      <c r="C3" s="220"/>
      <c r="D3" s="40"/>
      <c r="E3" s="13"/>
      <c r="G3" s="228"/>
      <c r="H3" s="229"/>
      <c r="I3" s="13"/>
      <c r="J3" s="13"/>
      <c r="K3" s="13"/>
      <c r="L3" s="13"/>
      <c r="M3" s="200"/>
      <c r="N3" s="200"/>
      <c r="R3" s="166"/>
      <c r="S3" s="166"/>
    </row>
    <row r="4" spans="1:25" s="3" customFormat="1" ht="25.5" x14ac:dyDescent="0.2">
      <c r="A4" s="12" t="s">
        <v>95</v>
      </c>
      <c r="B4" s="330" t="str">
        <f>'2 CONTEXTO E IDENTIFICACIÓN'!B4</f>
        <v>SUPERSOLIDARIA</v>
      </c>
      <c r="C4" s="470"/>
      <c r="D4" s="471"/>
      <c r="E4" s="13"/>
      <c r="G4" s="219" t="str">
        <f>+'2 CONTEXTO E IDENTIFICACIÓN'!$E$5</f>
        <v>Vigencia:  2026</v>
      </c>
      <c r="H4" s="217" t="str">
        <f>'2 CONTEXTO E IDENTIFICACIÓN'!G5</f>
        <v>1 de enero de 2026</v>
      </c>
      <c r="I4" s="218" t="s">
        <v>99</v>
      </c>
      <c r="J4" s="215" t="str">
        <f>'2 CONTEXTO E IDENTIFICACIÓN'!J5</f>
        <v>31 de diciembre de 2026</v>
      </c>
      <c r="K4" s="13"/>
      <c r="L4" s="13"/>
      <c r="M4" s="200"/>
      <c r="N4" s="200"/>
      <c r="R4" s="166"/>
      <c r="S4" s="166"/>
    </row>
    <row r="5" spans="1:25" s="3" customFormat="1" ht="15.75" thickBot="1" x14ac:dyDescent="0.25">
      <c r="A5" s="12" t="s">
        <v>96</v>
      </c>
      <c r="B5" s="462" t="str">
        <f>'2 CONTEXTO E IDENTIFICACIÓN'!F4</f>
        <v>GEGI</v>
      </c>
      <c r="C5" s="463"/>
      <c r="D5" s="463"/>
      <c r="E5" s="16"/>
      <c r="F5" s="16"/>
      <c r="R5" s="166"/>
      <c r="S5" s="166"/>
    </row>
    <row r="6" spans="1:25" s="3" customFormat="1" ht="15.75" thickBot="1" x14ac:dyDescent="0.25">
      <c r="A6" s="231"/>
      <c r="B6" s="232"/>
      <c r="C6" s="222"/>
      <c r="D6" s="222"/>
      <c r="E6" s="16"/>
      <c r="F6" s="16"/>
      <c r="G6" s="464" t="s">
        <v>257</v>
      </c>
      <c r="H6" s="465"/>
      <c r="I6" s="465"/>
      <c r="J6" s="465"/>
      <c r="K6" s="465"/>
      <c r="L6" s="465"/>
      <c r="M6" s="465"/>
      <c r="N6" s="466"/>
      <c r="R6" s="166"/>
      <c r="S6" s="166"/>
    </row>
    <row r="7" spans="1:25" s="19" customFormat="1" ht="16.5" thickBot="1" x14ac:dyDescent="0.3">
      <c r="A7" s="17"/>
      <c r="B7" s="18"/>
      <c r="C7" s="464" t="s">
        <v>258</v>
      </c>
      <c r="D7" s="465"/>
      <c r="E7" s="465"/>
      <c r="F7" s="466"/>
      <c r="G7" s="467" t="s">
        <v>39</v>
      </c>
      <c r="H7" s="468"/>
      <c r="I7" s="469"/>
      <c r="J7" s="467" t="s">
        <v>41</v>
      </c>
      <c r="K7" s="468"/>
      <c r="L7" s="469"/>
      <c r="M7" s="467" t="s">
        <v>259</v>
      </c>
      <c r="N7" s="469"/>
      <c r="P7" s="456" t="s">
        <v>260</v>
      </c>
      <c r="Q7" s="457"/>
      <c r="R7" s="458"/>
      <c r="S7" s="458"/>
      <c r="T7" s="459"/>
      <c r="V7" s="453" t="s">
        <v>261</v>
      </c>
      <c r="W7" s="454"/>
      <c r="X7" s="454"/>
      <c r="Y7" s="455"/>
    </row>
    <row r="8" spans="1:25" s="144" customFormat="1" ht="57" x14ac:dyDescent="0.25">
      <c r="A8" s="182" t="s">
        <v>262</v>
      </c>
      <c r="B8" s="181" t="s">
        <v>263</v>
      </c>
      <c r="C8" s="196" t="s">
        <v>37</v>
      </c>
      <c r="D8" s="197" t="s">
        <v>264</v>
      </c>
      <c r="E8" s="198" t="s">
        <v>265</v>
      </c>
      <c r="F8" s="199" t="s">
        <v>266</v>
      </c>
      <c r="G8" s="171" t="s">
        <v>39</v>
      </c>
      <c r="H8" s="172" t="s">
        <v>267</v>
      </c>
      <c r="I8" s="175" t="s">
        <v>268</v>
      </c>
      <c r="J8" s="171" t="s">
        <v>41</v>
      </c>
      <c r="K8" s="172" t="s">
        <v>267</v>
      </c>
      <c r="L8" s="175" t="s">
        <v>268</v>
      </c>
      <c r="M8" s="171" t="s">
        <v>269</v>
      </c>
      <c r="N8" s="173" t="s">
        <v>270</v>
      </c>
      <c r="P8" s="21" t="s">
        <v>268</v>
      </c>
      <c r="Q8" s="22" t="s">
        <v>264</v>
      </c>
      <c r="R8" s="163" t="s">
        <v>271</v>
      </c>
      <c r="S8" s="163" t="s">
        <v>272</v>
      </c>
      <c r="T8" s="23" t="s">
        <v>146</v>
      </c>
      <c r="V8" s="21" t="s">
        <v>268</v>
      </c>
      <c r="W8" s="22" t="s">
        <v>273</v>
      </c>
      <c r="X8" s="22" t="s">
        <v>274</v>
      </c>
      <c r="Y8" s="23" t="s">
        <v>41</v>
      </c>
    </row>
    <row r="9" spans="1:25" ht="105" x14ac:dyDescent="0.25">
      <c r="A9" s="24" t="str">
        <f>'2 CONTEXTO E IDENTIFICACIÓN'!A9</f>
        <v>GEGI-1</v>
      </c>
      <c r="B9" s="193" t="str">
        <f>+'2 CONTEXTO E IDENTIFICACIÓN'!J9</f>
        <v>Posibilidad de afectación reputacional porpor insatisfacción de los grupos de valor a causa de una orientación inadecuada en la prestación del servicio</v>
      </c>
      <c r="C9" s="359">
        <v>250</v>
      </c>
      <c r="D9" s="167" t="str">
        <f t="shared" ref="D9:D28" si="0">+IF(C9="","",IF(C9&lt;=$S$9,$Q$9,IF(C9&lt;=$S$10,$Q$10,IF(C9&lt;=$S$11,$Q$11,IF(C9&lt;=$S$12,$Q$12,IF(C9&gt;=$R$13,$Q$13,""))))))</f>
        <v>La actividad que conlleva el riesgo se ejecuta de 24 a 500 veces por año</v>
      </c>
      <c r="E9" s="168">
        <f t="shared" ref="E9:E28" si="1">+IF(D9="","",IF(D9=$Q$9,$T$9,IF(D9=$Q$10,$T$10,IF(D9=$Q$11,$T$11,IF(D9=$Q$12,$T$12,IF(D9=$Q$13,$T$13))))))</f>
        <v>0.6</v>
      </c>
      <c r="F9" s="25" t="str">
        <f t="shared" ref="F9:F28" si="2">+IF(D9="","",IF(D9=$Q$9,$P$9,IF(D9=$Q$10,$P$10,IF(D9=$Q$11,$P$11,IF(D9=$Q$12,$P$12,IF(D9=$Q$13,$P$13))))))</f>
        <v>Media</v>
      </c>
      <c r="G9" s="361" t="s">
        <v>280</v>
      </c>
      <c r="H9" s="170">
        <f>+IF(G9="","",IF(G9="N/A","",IF(OR(G9=$X$9,G9=$Y$9),$W$9,IF(OR(G9=$X$10,G9=$Y$10),$W$10,IF(OR(G9=$X$11,G9=$Y$11),$W$11,IF(OR(G9=$X$12,G9=$Y$12),$W$12,IF(OR(G9=$X$13,G9=$Y$13),$W$13)))))))</f>
        <v>0.2</v>
      </c>
      <c r="I9" s="176" t="str">
        <f t="shared" ref="I9:I28" si="3">+IF(G9="","",IF(G9="N/A","",IF(OR(G9=$X$9,G9=$Y$9),$V$9,IF(OR(G9=$X$10,G9=$Y$10),$V$10,IF(OR(G9=$X$11,G9=$Y$11),$V$11,IF(OR(G9=$X$12,G9=$Y$12),$V$12,IF(OR(G9=$X$13,G9=$Y$13),$V$13)))))))</f>
        <v>Leve</v>
      </c>
      <c r="J9" s="361" t="s">
        <v>284</v>
      </c>
      <c r="K9" s="170">
        <f t="shared" ref="K9:K28" si="4">+IF(J9="","",IF(J9="N/A","",IF(OR(J9=$X$9,J9=$Y$9),$W$9,IF(OR(J9=$X$10,J9=$Y$10),$W$10,IF(OR(J9=$X$11,J9=$Y$11),$W$11,IF(OR(J9=$X$12,J9=$Y$12),$W$12,IF(OR(J9=$X$13,J9=$Y$13),$W$13)))))))</f>
        <v>0.4</v>
      </c>
      <c r="L9" s="176" t="str">
        <f t="shared" ref="L9:L28" si="5">+IF(J9="","",IF(J9="N/A","",IF(OR(J9=$X$9,J9=$Y$9),$V$9,IF(OR(J9=$X$10,J9=$Y$10),$V$10,IF(OR(J9=$X$11,J9=$Y$11),$V$11,IF(OR(J9=$X$12,J9=$Y$12),$V$12,IF(OR(J9=$X$13,J9=$Y$13),$V$13)))))))</f>
        <v>Menor</v>
      </c>
      <c r="M9" s="201">
        <f>+IF(H9="",K9,IF(K9="",H9,IF(H9&gt;K9,H9,K9)))</f>
        <v>0.4</v>
      </c>
      <c r="N9" s="202" t="str">
        <f>+IF(M9="","",IF(M9=$W$9,$V$9,IF(M9=$W$10,$V$10,IF(M9=$W$11,$V$11,IF(M9=$W$12,$V$12,IF(M9=$W$13,$V$13))))))</f>
        <v>Menor</v>
      </c>
      <c r="P9" s="303" t="s">
        <v>277</v>
      </c>
      <c r="Q9" s="26" t="s">
        <v>278</v>
      </c>
      <c r="R9" s="164">
        <v>0</v>
      </c>
      <c r="S9" s="164">
        <v>2</v>
      </c>
      <c r="T9" s="27">
        <v>0.2</v>
      </c>
      <c r="V9" s="303" t="s">
        <v>279</v>
      </c>
      <c r="W9" s="28">
        <v>0.2</v>
      </c>
      <c r="X9" s="26" t="s">
        <v>280</v>
      </c>
      <c r="Y9" s="29" t="s">
        <v>276</v>
      </c>
    </row>
    <row r="10" spans="1:25" ht="99.75" x14ac:dyDescent="0.25">
      <c r="A10" s="24" t="str">
        <f>'2 CONTEXTO E IDENTIFICACIÓN'!A10</f>
        <v>GEGI-2</v>
      </c>
      <c r="B10" s="193" t="str">
        <f>+'2 CONTEXTO E IDENTIFICACIÓN'!J10</f>
        <v>Posibilidad de afectación reputacional porinsatisfacción de los grupos de valor y/o sanciones de entes de control a causa de incumplimiento de los términos de ley para la gestión de solicitudes.</v>
      </c>
      <c r="C10" s="360">
        <v>250</v>
      </c>
      <c r="D10" s="167" t="str">
        <f t="shared" si="0"/>
        <v>La actividad que conlleva el riesgo se ejecuta de 24 a 500 veces por año</v>
      </c>
      <c r="E10" s="168">
        <f t="shared" si="1"/>
        <v>0.6</v>
      </c>
      <c r="F10" s="25" t="str">
        <f t="shared" si="2"/>
        <v>Media</v>
      </c>
      <c r="G10" s="362" t="s">
        <v>280</v>
      </c>
      <c r="H10" s="170">
        <f t="shared" ref="H10:H28" si="6">+IF(G10="","",IF(G10="N/A","",IF(OR(G10=$X$9,G10=$Y$9),$W$9,IF(OR(G10=$X$10,G10=$Y$10),$W$10,IF(OR(G10=$X$11,G10=$Y$11),$W$11,IF(OR(G10=$X$12,G10=$Y$12),$W$12,IF(OR(G10=$X$13,G10=$Y$13),$W$13)))))))</f>
        <v>0.2</v>
      </c>
      <c r="I10" s="176" t="str">
        <f t="shared" si="3"/>
        <v>Leve</v>
      </c>
      <c r="J10" s="362" t="s">
        <v>299</v>
      </c>
      <c r="K10" s="170">
        <f t="shared" si="4"/>
        <v>1</v>
      </c>
      <c r="L10" s="176" t="str">
        <f t="shared" si="5"/>
        <v>Catastrófico</v>
      </c>
      <c r="M10" s="201">
        <f>+IF(H10="",K10,IF(K10="",H10,IF(H10&gt;K10,H10,K10)))</f>
        <v>1</v>
      </c>
      <c r="N10" s="202" t="str">
        <f t="shared" ref="N10:N28" si="7">+IF(M10="","",IF(M10=$W$9,$V$9,IF(M10=$W$10,$V$10,IF(M10=$W$11,$V$11,IF(M10=$W$12,$V$12,IF(M10=$W$13,$V$13))))))</f>
        <v>Catastrófico</v>
      </c>
      <c r="P10" s="304" t="s">
        <v>281</v>
      </c>
      <c r="Q10" s="30" t="s">
        <v>282</v>
      </c>
      <c r="R10" s="164">
        <v>3</v>
      </c>
      <c r="S10" s="164">
        <v>24</v>
      </c>
      <c r="T10" s="27">
        <v>0.4</v>
      </c>
      <c r="V10" s="304" t="s">
        <v>283</v>
      </c>
      <c r="W10" s="28">
        <v>0.4</v>
      </c>
      <c r="X10" s="30" t="s">
        <v>275</v>
      </c>
      <c r="Y10" s="31" t="s">
        <v>284</v>
      </c>
    </row>
    <row r="11" spans="1:25" ht="114" x14ac:dyDescent="0.25">
      <c r="A11" s="24" t="str">
        <f>'2 CONTEXTO E IDENTIFICACIÓN'!A11</f>
        <v>GEGI-10</v>
      </c>
      <c r="B11" s="193" t="str">
        <f>+'2 CONTEXTO E IDENTIFICACIÓN'!J11</f>
        <v>Posibilidad de afectación reputacional porfalta de comunicación y credibilidad en la SES a causa de la publicación de información emitida sin la correcta divulgación al interior de la entidad.</v>
      </c>
      <c r="C11" s="360">
        <v>12</v>
      </c>
      <c r="D11" s="167" t="str">
        <f t="shared" si="0"/>
        <v>La actividad que conlleva el riesgo se ejecuta de 3 a 24 veces por año</v>
      </c>
      <c r="E11" s="168">
        <f t="shared" si="1"/>
        <v>0.4</v>
      </c>
      <c r="F11" s="25" t="str">
        <f t="shared" si="2"/>
        <v>Baja</v>
      </c>
      <c r="G11" s="362" t="s">
        <v>280</v>
      </c>
      <c r="H11" s="170">
        <f t="shared" si="6"/>
        <v>0.2</v>
      </c>
      <c r="I11" s="176" t="str">
        <f t="shared" si="3"/>
        <v>Leve</v>
      </c>
      <c r="J11" s="362" t="s">
        <v>276</v>
      </c>
      <c r="K11" s="170">
        <f t="shared" si="4"/>
        <v>0.2</v>
      </c>
      <c r="L11" s="176" t="str">
        <f t="shared" si="5"/>
        <v>Leve</v>
      </c>
      <c r="M11" s="201">
        <f t="shared" ref="M11:M28" si="8">+IF(H11="",K11,IF(K11="",H11,IF(H11&gt;K11,H11,K11)))</f>
        <v>0.2</v>
      </c>
      <c r="N11" s="202" t="str">
        <f t="shared" si="7"/>
        <v>Leve</v>
      </c>
      <c r="P11" s="305" t="s">
        <v>285</v>
      </c>
      <c r="Q11" s="30" t="s">
        <v>286</v>
      </c>
      <c r="R11" s="164">
        <v>25</v>
      </c>
      <c r="S11" s="164">
        <v>500</v>
      </c>
      <c r="T11" s="27">
        <v>0.6</v>
      </c>
      <c r="V11" s="305" t="s">
        <v>287</v>
      </c>
      <c r="W11" s="28">
        <v>0.6</v>
      </c>
      <c r="X11" s="30" t="s">
        <v>288</v>
      </c>
      <c r="Y11" s="31" t="s">
        <v>289</v>
      </c>
    </row>
    <row r="12" spans="1:25" ht="128.25" x14ac:dyDescent="0.25">
      <c r="A12" s="24" t="str">
        <f>'2 CONTEXTO E IDENTIFICACIÓN'!A12</f>
        <v>GEGI-13</v>
      </c>
      <c r="B12" s="193" t="str">
        <f>+'2 CONTEXTO E IDENTIFICACIÓN'!J12</f>
        <v>Posibilidad de afectación económica y reputacional porafectación a los asistentes a actividades organizadas por la SES a causa de falta de planeación previa a la ejecución de las actividades organizadas con 100 o hasta 500 personas.</v>
      </c>
      <c r="C12" s="360">
        <v>12</v>
      </c>
      <c r="D12" s="167" t="str">
        <f t="shared" si="0"/>
        <v>La actividad que conlleva el riesgo se ejecuta de 3 a 24 veces por año</v>
      </c>
      <c r="E12" s="168">
        <f t="shared" si="1"/>
        <v>0.4</v>
      </c>
      <c r="F12" s="25" t="str">
        <f t="shared" si="2"/>
        <v>Baja</v>
      </c>
      <c r="G12" s="362" t="s">
        <v>280</v>
      </c>
      <c r="H12" s="170">
        <f t="shared" si="6"/>
        <v>0.2</v>
      </c>
      <c r="I12" s="176" t="str">
        <f t="shared" si="3"/>
        <v>Leve</v>
      </c>
      <c r="J12" s="362" t="s">
        <v>289</v>
      </c>
      <c r="K12" s="170">
        <f t="shared" si="4"/>
        <v>0.6</v>
      </c>
      <c r="L12" s="176" t="str">
        <f t="shared" si="5"/>
        <v>Moderado</v>
      </c>
      <c r="M12" s="201">
        <f t="shared" si="8"/>
        <v>0.6</v>
      </c>
      <c r="N12" s="202" t="str">
        <f t="shared" si="7"/>
        <v>Moderado</v>
      </c>
      <c r="P12" s="32" t="s">
        <v>290</v>
      </c>
      <c r="Q12" s="30" t="s">
        <v>291</v>
      </c>
      <c r="R12" s="164">
        <v>5001</v>
      </c>
      <c r="S12" s="164">
        <v>5000</v>
      </c>
      <c r="T12" s="27">
        <v>0.8</v>
      </c>
      <c r="V12" s="32" t="s">
        <v>292</v>
      </c>
      <c r="W12" s="28">
        <v>0.8</v>
      </c>
      <c r="X12" s="30" t="s">
        <v>293</v>
      </c>
      <c r="Y12" s="31" t="s">
        <v>294</v>
      </c>
    </row>
    <row r="13" spans="1:25" ht="171" x14ac:dyDescent="0.25">
      <c r="A13" s="24" t="str">
        <f>'2 CONTEXTO E IDENTIFICACIÓN'!A13</f>
        <v>GEGI-14</v>
      </c>
      <c r="B13" s="193" t="str">
        <f>+'2 CONTEXTO E IDENTIFICACIÓN'!J13</f>
        <v>Posibilidad de pérdida reputacional porsolicitar o recibir dádivas para adelantar trámites ante la Supersolidaria a causa de desconocimiento de los servicios dispuestos por la SES por parte de las entidades de economía solidaria, asociados y ciudadanía en general en la solicitud de trámites.</v>
      </c>
      <c r="C13" s="360">
        <v>12</v>
      </c>
      <c r="D13" s="167" t="str">
        <f t="shared" si="0"/>
        <v>La actividad que conlleva el riesgo se ejecuta de 3 a 24 veces por año</v>
      </c>
      <c r="E13" s="168">
        <f t="shared" si="1"/>
        <v>0.4</v>
      </c>
      <c r="F13" s="25" t="str">
        <f t="shared" si="2"/>
        <v>Baja</v>
      </c>
      <c r="G13" s="362" t="s">
        <v>280</v>
      </c>
      <c r="H13" s="170">
        <f t="shared" si="6"/>
        <v>0.2</v>
      </c>
      <c r="I13" s="176" t="str">
        <f t="shared" si="3"/>
        <v>Leve</v>
      </c>
      <c r="J13" s="362" t="s">
        <v>284</v>
      </c>
      <c r="K13" s="170">
        <f t="shared" si="4"/>
        <v>0.4</v>
      </c>
      <c r="L13" s="176" t="str">
        <f t="shared" si="5"/>
        <v>Menor</v>
      </c>
      <c r="M13" s="201">
        <f t="shared" si="8"/>
        <v>0.4</v>
      </c>
      <c r="N13" s="202" t="str">
        <f t="shared" si="7"/>
        <v>Menor</v>
      </c>
      <c r="P13" s="306" t="s">
        <v>295</v>
      </c>
      <c r="Q13" s="30" t="s">
        <v>296</v>
      </c>
      <c r="R13" s="164">
        <v>5001</v>
      </c>
      <c r="S13" s="164"/>
      <c r="T13" s="27">
        <v>1</v>
      </c>
      <c r="V13" s="306" t="s">
        <v>297</v>
      </c>
      <c r="W13" s="28">
        <v>1</v>
      </c>
      <c r="X13" s="30" t="s">
        <v>298</v>
      </c>
      <c r="Y13" s="31" t="s">
        <v>299</v>
      </c>
    </row>
    <row r="14" spans="1:25" ht="271.5" thickBot="1" x14ac:dyDescent="0.3">
      <c r="A14" s="24" t="str">
        <f>'2 CONTEXTO E IDENTIFICACIÓN'!A14</f>
        <v>GEGI-15</v>
      </c>
      <c r="B14" s="193" t="str">
        <f>+'2 CONTEXTO E IDENTIFICACIÓN'!J14</f>
        <v>Posibilidad de pérdida reputacional porfalta de interiorización de los valores institucionales señalados en el Código de Integridad por parte de los servidores de la entidad a causa de desconocimiento y/o falta de apropiación de la politica de conflictos de interés de la SES lo que podria generar recibir beneficios particulares o para un tercero por suministrar a traves de los canales de atención y comunicación de la SES información especifica de alguna organización solidaria vigilada o sus asociados.</v>
      </c>
      <c r="C14" s="360">
        <v>12</v>
      </c>
      <c r="D14" s="167" t="str">
        <f t="shared" si="0"/>
        <v>La actividad que conlleva el riesgo se ejecuta de 3 a 24 veces por año</v>
      </c>
      <c r="E14" s="168">
        <f t="shared" si="1"/>
        <v>0.4</v>
      </c>
      <c r="F14" s="25" t="str">
        <f t="shared" si="2"/>
        <v>Baja</v>
      </c>
      <c r="G14" s="362" t="s">
        <v>280</v>
      </c>
      <c r="H14" s="170">
        <f t="shared" si="6"/>
        <v>0.2</v>
      </c>
      <c r="I14" s="176" t="str">
        <f t="shared" si="3"/>
        <v>Leve</v>
      </c>
      <c r="J14" s="362" t="s">
        <v>276</v>
      </c>
      <c r="K14" s="170">
        <f t="shared" si="4"/>
        <v>0.2</v>
      </c>
      <c r="L14" s="176" t="str">
        <f t="shared" si="5"/>
        <v>Leve</v>
      </c>
      <c r="M14" s="201">
        <f t="shared" si="8"/>
        <v>0.2</v>
      </c>
      <c r="N14" s="202" t="str">
        <f t="shared" si="7"/>
        <v>Leve</v>
      </c>
      <c r="P14" s="33"/>
      <c r="Q14" s="34"/>
      <c r="R14" s="165"/>
      <c r="S14" s="165"/>
      <c r="T14" s="35"/>
      <c r="V14" s="33"/>
      <c r="W14" s="34"/>
      <c r="X14" s="34" t="s">
        <v>300</v>
      </c>
      <c r="Y14" s="35" t="s">
        <v>300</v>
      </c>
    </row>
    <row r="15" spans="1:25" ht="142.5" x14ac:dyDescent="0.25">
      <c r="A15" s="24" t="str">
        <f>'2 CONTEXTO E IDENTIFICACIÓN'!A15</f>
        <v>GEGI-12</v>
      </c>
      <c r="B15" s="193" t="str">
        <f>+'2 CONTEXTO E IDENTIFICACIÓN'!J15</f>
        <v>Posibilidad de pérdida reputacional porrecibir un beneficio particular o para un tercero a causa de suministrar a través de los canales de atención y comunicación de la SES información especifica de alguna organización solidaria vigilada o sus asociados.</v>
      </c>
      <c r="C15" s="360">
        <v>12</v>
      </c>
      <c r="D15" s="167" t="str">
        <f t="shared" si="0"/>
        <v>La actividad que conlleva el riesgo se ejecuta de 3 a 24 veces por año</v>
      </c>
      <c r="E15" s="168">
        <f t="shared" si="1"/>
        <v>0.4</v>
      </c>
      <c r="F15" s="25" t="str">
        <f t="shared" si="2"/>
        <v>Baja</v>
      </c>
      <c r="G15" s="362" t="s">
        <v>280</v>
      </c>
      <c r="H15" s="170">
        <f t="shared" si="6"/>
        <v>0.2</v>
      </c>
      <c r="I15" s="176" t="str">
        <f t="shared" si="3"/>
        <v>Leve</v>
      </c>
      <c r="J15" s="362" t="s">
        <v>276</v>
      </c>
      <c r="K15" s="170">
        <f t="shared" si="4"/>
        <v>0.2</v>
      </c>
      <c r="L15" s="176" t="str">
        <f t="shared" si="5"/>
        <v>Leve</v>
      </c>
      <c r="M15" s="201">
        <f t="shared" si="8"/>
        <v>0.2</v>
      </c>
      <c r="N15" s="202" t="str">
        <f t="shared" si="7"/>
        <v>Leve</v>
      </c>
    </row>
    <row r="16" spans="1:25" ht="15" hidden="1" x14ac:dyDescent="0.25">
      <c r="A16" s="24" t="str">
        <f>'2 CONTEXTO E IDENTIFICACIÓN'!A16</f>
        <v>R8</v>
      </c>
      <c r="B16" s="193" t="str">
        <f>+'2 CONTEXTO E IDENTIFICACIÓN'!J16</f>
        <v xml:space="preserve"> por a causa de </v>
      </c>
      <c r="C16" s="194"/>
      <c r="D16" s="167" t="str">
        <f t="shared" si="0"/>
        <v/>
      </c>
      <c r="E16" s="168" t="str">
        <f t="shared" si="1"/>
        <v/>
      </c>
      <c r="F16" s="25" t="str">
        <f t="shared" si="2"/>
        <v/>
      </c>
      <c r="G16" s="178"/>
      <c r="H16" s="170" t="str">
        <f t="shared" si="6"/>
        <v/>
      </c>
      <c r="I16" s="176" t="str">
        <f t="shared" si="3"/>
        <v/>
      </c>
      <c r="J16" s="178"/>
      <c r="K16" s="170" t="str">
        <f t="shared" si="4"/>
        <v/>
      </c>
      <c r="L16" s="176" t="str">
        <f t="shared" si="5"/>
        <v/>
      </c>
      <c r="M16" s="201" t="str">
        <f t="shared" si="8"/>
        <v/>
      </c>
      <c r="N16" s="202" t="str">
        <f t="shared" si="7"/>
        <v/>
      </c>
    </row>
    <row r="17" spans="1:14" ht="15" hidden="1" x14ac:dyDescent="0.25">
      <c r="A17" s="24" t="str">
        <f>'2 CONTEXTO E IDENTIFICACIÓN'!A17</f>
        <v>R9</v>
      </c>
      <c r="B17" s="193" t="str">
        <f>+'2 CONTEXTO E IDENTIFICACIÓN'!J17</f>
        <v xml:space="preserve"> por a causa de </v>
      </c>
      <c r="C17" s="194"/>
      <c r="D17" s="167" t="str">
        <f t="shared" si="0"/>
        <v/>
      </c>
      <c r="E17" s="168" t="str">
        <f t="shared" si="1"/>
        <v/>
      </c>
      <c r="F17" s="25" t="str">
        <f t="shared" si="2"/>
        <v/>
      </c>
      <c r="G17" s="178"/>
      <c r="H17" s="170" t="str">
        <f t="shared" si="6"/>
        <v/>
      </c>
      <c r="I17" s="176" t="str">
        <f t="shared" si="3"/>
        <v/>
      </c>
      <c r="J17" s="178"/>
      <c r="K17" s="170" t="str">
        <f t="shared" si="4"/>
        <v/>
      </c>
      <c r="L17" s="176" t="str">
        <f t="shared" si="5"/>
        <v/>
      </c>
      <c r="M17" s="201" t="str">
        <f t="shared" si="8"/>
        <v/>
      </c>
      <c r="N17" s="202" t="str">
        <f t="shared" si="7"/>
        <v/>
      </c>
    </row>
    <row r="18" spans="1:14" ht="15" hidden="1" x14ac:dyDescent="0.25">
      <c r="A18" s="24" t="str">
        <f>'2 CONTEXTO E IDENTIFICACIÓN'!A18</f>
        <v>R10</v>
      </c>
      <c r="B18" s="193" t="str">
        <f>+'2 CONTEXTO E IDENTIFICACIÓN'!J18</f>
        <v xml:space="preserve"> por a causa de </v>
      </c>
      <c r="C18" s="194"/>
      <c r="D18" s="167" t="str">
        <f t="shared" si="0"/>
        <v/>
      </c>
      <c r="E18" s="168" t="str">
        <f t="shared" si="1"/>
        <v/>
      </c>
      <c r="F18" s="25" t="str">
        <f t="shared" si="2"/>
        <v/>
      </c>
      <c r="G18" s="178"/>
      <c r="H18" s="170" t="str">
        <f t="shared" si="6"/>
        <v/>
      </c>
      <c r="I18" s="176" t="str">
        <f t="shared" si="3"/>
        <v/>
      </c>
      <c r="J18" s="178"/>
      <c r="K18" s="170" t="str">
        <f t="shared" si="4"/>
        <v/>
      </c>
      <c r="L18" s="176" t="str">
        <f t="shared" si="5"/>
        <v/>
      </c>
      <c r="M18" s="201" t="str">
        <f t="shared" si="8"/>
        <v/>
      </c>
      <c r="N18" s="202" t="str">
        <f t="shared" si="7"/>
        <v/>
      </c>
    </row>
    <row r="19" spans="1:14" ht="15" hidden="1" x14ac:dyDescent="0.25">
      <c r="A19" s="24" t="str">
        <f>'2 CONTEXTO E IDENTIFICACIÓN'!A19</f>
        <v>R11</v>
      </c>
      <c r="B19" s="193" t="str">
        <f>+'2 CONTEXTO E IDENTIFICACIÓN'!J19</f>
        <v xml:space="preserve"> por a causa de </v>
      </c>
      <c r="C19" s="194"/>
      <c r="D19" s="167" t="str">
        <f t="shared" si="0"/>
        <v/>
      </c>
      <c r="E19" s="168" t="str">
        <f t="shared" si="1"/>
        <v/>
      </c>
      <c r="F19" s="25" t="str">
        <f t="shared" si="2"/>
        <v/>
      </c>
      <c r="G19" s="178"/>
      <c r="H19" s="170" t="str">
        <f t="shared" si="6"/>
        <v/>
      </c>
      <c r="I19" s="176" t="str">
        <f t="shared" si="3"/>
        <v/>
      </c>
      <c r="J19" s="178"/>
      <c r="K19" s="170" t="str">
        <f t="shared" si="4"/>
        <v/>
      </c>
      <c r="L19" s="176" t="str">
        <f t="shared" si="5"/>
        <v/>
      </c>
      <c r="M19" s="201" t="str">
        <f t="shared" si="8"/>
        <v/>
      </c>
      <c r="N19" s="202" t="str">
        <f t="shared" si="7"/>
        <v/>
      </c>
    </row>
    <row r="20" spans="1:14" ht="15" hidden="1" x14ac:dyDescent="0.25">
      <c r="A20" s="24" t="str">
        <f>'2 CONTEXTO E IDENTIFICACIÓN'!A20</f>
        <v>R12</v>
      </c>
      <c r="B20" s="193" t="str">
        <f>+'2 CONTEXTO E IDENTIFICACIÓN'!J20</f>
        <v xml:space="preserve"> por a causa de </v>
      </c>
      <c r="C20" s="194"/>
      <c r="D20" s="167" t="str">
        <f t="shared" si="0"/>
        <v/>
      </c>
      <c r="E20" s="168" t="str">
        <f t="shared" si="1"/>
        <v/>
      </c>
      <c r="F20" s="25" t="str">
        <f t="shared" si="2"/>
        <v/>
      </c>
      <c r="G20" s="178"/>
      <c r="H20" s="170" t="str">
        <f t="shared" si="6"/>
        <v/>
      </c>
      <c r="I20" s="176" t="str">
        <f t="shared" si="3"/>
        <v/>
      </c>
      <c r="J20" s="178"/>
      <c r="K20" s="170" t="str">
        <f t="shared" si="4"/>
        <v/>
      </c>
      <c r="L20" s="176" t="str">
        <f t="shared" si="5"/>
        <v/>
      </c>
      <c r="M20" s="201" t="str">
        <f t="shared" si="8"/>
        <v/>
      </c>
      <c r="N20" s="202" t="str">
        <f t="shared" si="7"/>
        <v/>
      </c>
    </row>
    <row r="21" spans="1:14" ht="15" hidden="1" x14ac:dyDescent="0.25">
      <c r="A21" s="24" t="str">
        <f>'2 CONTEXTO E IDENTIFICACIÓN'!A21</f>
        <v>R13</v>
      </c>
      <c r="B21" s="193" t="str">
        <f>+'2 CONTEXTO E IDENTIFICACIÓN'!J21</f>
        <v xml:space="preserve"> por a causa de </v>
      </c>
      <c r="C21" s="194"/>
      <c r="D21" s="167" t="str">
        <f t="shared" si="0"/>
        <v/>
      </c>
      <c r="E21" s="168" t="str">
        <f t="shared" si="1"/>
        <v/>
      </c>
      <c r="F21" s="25" t="str">
        <f t="shared" si="2"/>
        <v/>
      </c>
      <c r="G21" s="178"/>
      <c r="H21" s="170" t="str">
        <f t="shared" si="6"/>
        <v/>
      </c>
      <c r="I21" s="176" t="str">
        <f t="shared" si="3"/>
        <v/>
      </c>
      <c r="J21" s="178"/>
      <c r="K21" s="170" t="str">
        <f t="shared" si="4"/>
        <v/>
      </c>
      <c r="L21" s="176" t="str">
        <f t="shared" si="5"/>
        <v/>
      </c>
      <c r="M21" s="201" t="str">
        <f t="shared" si="8"/>
        <v/>
      </c>
      <c r="N21" s="202" t="str">
        <f t="shared" si="7"/>
        <v/>
      </c>
    </row>
    <row r="22" spans="1:14" ht="15" hidden="1" x14ac:dyDescent="0.25">
      <c r="A22" s="24" t="str">
        <f>'2 CONTEXTO E IDENTIFICACIÓN'!A22</f>
        <v>R14</v>
      </c>
      <c r="B22" s="193" t="str">
        <f>+'2 CONTEXTO E IDENTIFICACIÓN'!J22</f>
        <v xml:space="preserve"> por a causa de </v>
      </c>
      <c r="C22" s="194"/>
      <c r="D22" s="167" t="str">
        <f t="shared" si="0"/>
        <v/>
      </c>
      <c r="E22" s="168" t="str">
        <f t="shared" si="1"/>
        <v/>
      </c>
      <c r="F22" s="25" t="str">
        <f t="shared" si="2"/>
        <v/>
      </c>
      <c r="G22" s="178"/>
      <c r="H22" s="170" t="str">
        <f t="shared" si="6"/>
        <v/>
      </c>
      <c r="I22" s="176" t="str">
        <f t="shared" si="3"/>
        <v/>
      </c>
      <c r="J22" s="178"/>
      <c r="K22" s="170" t="str">
        <f t="shared" si="4"/>
        <v/>
      </c>
      <c r="L22" s="176" t="str">
        <f t="shared" si="5"/>
        <v/>
      </c>
      <c r="M22" s="201" t="str">
        <f t="shared" si="8"/>
        <v/>
      </c>
      <c r="N22" s="202" t="str">
        <f t="shared" si="7"/>
        <v/>
      </c>
    </row>
    <row r="23" spans="1:14" ht="15" hidden="1" x14ac:dyDescent="0.25">
      <c r="A23" s="24" t="str">
        <f>'2 CONTEXTO E IDENTIFICACIÓN'!A23</f>
        <v>R15</v>
      </c>
      <c r="B23" s="193" t="str">
        <f>+'2 CONTEXTO E IDENTIFICACIÓN'!J23</f>
        <v xml:space="preserve"> por a causa de </v>
      </c>
      <c r="C23" s="194"/>
      <c r="D23" s="167" t="str">
        <f t="shared" si="0"/>
        <v/>
      </c>
      <c r="E23" s="168" t="str">
        <f t="shared" si="1"/>
        <v/>
      </c>
      <c r="F23" s="25" t="str">
        <f t="shared" si="2"/>
        <v/>
      </c>
      <c r="G23" s="178"/>
      <c r="H23" s="170" t="str">
        <f t="shared" si="6"/>
        <v/>
      </c>
      <c r="I23" s="176" t="str">
        <f t="shared" si="3"/>
        <v/>
      </c>
      <c r="J23" s="178"/>
      <c r="K23" s="170" t="str">
        <f t="shared" si="4"/>
        <v/>
      </c>
      <c r="L23" s="176" t="str">
        <f t="shared" si="5"/>
        <v/>
      </c>
      <c r="M23" s="201" t="str">
        <f t="shared" si="8"/>
        <v/>
      </c>
      <c r="N23" s="202" t="str">
        <f t="shared" si="7"/>
        <v/>
      </c>
    </row>
    <row r="24" spans="1:14" ht="15" hidden="1" x14ac:dyDescent="0.25">
      <c r="A24" s="24" t="str">
        <f>'2 CONTEXTO E IDENTIFICACIÓN'!A24</f>
        <v>R16</v>
      </c>
      <c r="B24" s="193" t="str">
        <f>+'2 CONTEXTO E IDENTIFICACIÓN'!J24</f>
        <v xml:space="preserve"> por a causa de </v>
      </c>
      <c r="C24" s="194"/>
      <c r="D24" s="167" t="str">
        <f t="shared" si="0"/>
        <v/>
      </c>
      <c r="E24" s="168" t="str">
        <f t="shared" si="1"/>
        <v/>
      </c>
      <c r="F24" s="25" t="str">
        <f t="shared" si="2"/>
        <v/>
      </c>
      <c r="G24" s="178"/>
      <c r="H24" s="170" t="str">
        <f t="shared" si="6"/>
        <v/>
      </c>
      <c r="I24" s="176" t="str">
        <f t="shared" si="3"/>
        <v/>
      </c>
      <c r="J24" s="178"/>
      <c r="K24" s="170" t="str">
        <f t="shared" si="4"/>
        <v/>
      </c>
      <c r="L24" s="176" t="str">
        <f t="shared" si="5"/>
        <v/>
      </c>
      <c r="M24" s="201" t="str">
        <f t="shared" si="8"/>
        <v/>
      </c>
      <c r="N24" s="202" t="str">
        <f t="shared" si="7"/>
        <v/>
      </c>
    </row>
    <row r="25" spans="1:14" ht="15" hidden="1" x14ac:dyDescent="0.25">
      <c r="A25" s="24" t="str">
        <f>'2 CONTEXTO E IDENTIFICACIÓN'!A25</f>
        <v>R17</v>
      </c>
      <c r="B25" s="193" t="str">
        <f>+'2 CONTEXTO E IDENTIFICACIÓN'!J25</f>
        <v xml:space="preserve"> por a causa de </v>
      </c>
      <c r="C25" s="194"/>
      <c r="D25" s="167" t="str">
        <f t="shared" si="0"/>
        <v/>
      </c>
      <c r="E25" s="168" t="str">
        <f t="shared" si="1"/>
        <v/>
      </c>
      <c r="F25" s="25" t="str">
        <f t="shared" si="2"/>
        <v/>
      </c>
      <c r="G25" s="178"/>
      <c r="H25" s="170" t="str">
        <f t="shared" si="6"/>
        <v/>
      </c>
      <c r="I25" s="176" t="str">
        <f t="shared" si="3"/>
        <v/>
      </c>
      <c r="J25" s="178"/>
      <c r="K25" s="170" t="str">
        <f t="shared" si="4"/>
        <v/>
      </c>
      <c r="L25" s="176" t="str">
        <f t="shared" si="5"/>
        <v/>
      </c>
      <c r="M25" s="201" t="str">
        <f t="shared" si="8"/>
        <v/>
      </c>
      <c r="N25" s="202" t="str">
        <f t="shared" si="7"/>
        <v/>
      </c>
    </row>
    <row r="26" spans="1:14" ht="15" hidden="1" x14ac:dyDescent="0.25">
      <c r="A26" s="24">
        <f>'2 CONTEXTO E IDENTIFICACIÓN'!A26</f>
        <v>0</v>
      </c>
      <c r="B26" s="193">
        <f>+'2 CONTEXTO E IDENTIFICACIÓN'!J26</f>
        <v>0</v>
      </c>
      <c r="C26" s="194"/>
      <c r="D26" s="167" t="str">
        <f t="shared" si="0"/>
        <v/>
      </c>
      <c r="E26" s="168" t="str">
        <f t="shared" si="1"/>
        <v/>
      </c>
      <c r="F26" s="25" t="str">
        <f t="shared" si="2"/>
        <v/>
      </c>
      <c r="G26" s="178"/>
      <c r="H26" s="170" t="str">
        <f t="shared" si="6"/>
        <v/>
      </c>
      <c r="I26" s="176" t="str">
        <f t="shared" si="3"/>
        <v/>
      </c>
      <c r="J26" s="178"/>
      <c r="K26" s="170" t="str">
        <f t="shared" si="4"/>
        <v/>
      </c>
      <c r="L26" s="176" t="str">
        <f t="shared" si="5"/>
        <v/>
      </c>
      <c r="M26" s="201" t="str">
        <f t="shared" si="8"/>
        <v/>
      </c>
      <c r="N26" s="202" t="str">
        <f t="shared" si="7"/>
        <v/>
      </c>
    </row>
    <row r="27" spans="1:14" ht="15" hidden="1" x14ac:dyDescent="0.25">
      <c r="A27" s="24">
        <f>'2 CONTEXTO E IDENTIFICACIÓN'!A27</f>
        <v>0</v>
      </c>
      <c r="B27" s="193">
        <f>+'2 CONTEXTO E IDENTIFICACIÓN'!J27</f>
        <v>0</v>
      </c>
      <c r="C27" s="194"/>
      <c r="D27" s="167" t="str">
        <f t="shared" si="0"/>
        <v/>
      </c>
      <c r="E27" s="168" t="str">
        <f t="shared" si="1"/>
        <v/>
      </c>
      <c r="F27" s="25" t="str">
        <f t="shared" si="2"/>
        <v/>
      </c>
      <c r="G27" s="178"/>
      <c r="H27" s="170" t="str">
        <f t="shared" si="6"/>
        <v/>
      </c>
      <c r="I27" s="176" t="str">
        <f t="shared" si="3"/>
        <v/>
      </c>
      <c r="J27" s="178"/>
      <c r="K27" s="170" t="str">
        <f t="shared" si="4"/>
        <v/>
      </c>
      <c r="L27" s="176" t="str">
        <f t="shared" si="5"/>
        <v/>
      </c>
      <c r="M27" s="201" t="str">
        <f t="shared" si="8"/>
        <v/>
      </c>
      <c r="N27" s="202" t="str">
        <f t="shared" si="7"/>
        <v/>
      </c>
    </row>
    <row r="28" spans="1:14" ht="15.75" hidden="1" thickBot="1" x14ac:dyDescent="0.3">
      <c r="A28" s="24">
        <f>'2 CONTEXTO E IDENTIFICACIÓN'!A28</f>
        <v>0</v>
      </c>
      <c r="B28" s="193">
        <f>+'2 CONTEXTO E IDENTIFICACIÓN'!J28</f>
        <v>0</v>
      </c>
      <c r="C28" s="195"/>
      <c r="D28" s="180" t="str">
        <f t="shared" si="0"/>
        <v/>
      </c>
      <c r="E28" s="169" t="str">
        <f t="shared" si="1"/>
        <v/>
      </c>
      <c r="F28" s="36" t="str">
        <f t="shared" si="2"/>
        <v/>
      </c>
      <c r="G28" s="179"/>
      <c r="H28" s="174" t="str">
        <f t="shared" si="6"/>
        <v/>
      </c>
      <c r="I28" s="177" t="str">
        <f t="shared" si="3"/>
        <v/>
      </c>
      <c r="J28" s="179"/>
      <c r="K28" s="174" t="str">
        <f t="shared" si="4"/>
        <v/>
      </c>
      <c r="L28" s="177" t="str">
        <f t="shared" si="5"/>
        <v/>
      </c>
      <c r="M28" s="203" t="str">
        <f t="shared" si="8"/>
        <v/>
      </c>
      <c r="N28" s="204" t="str">
        <f t="shared" si="7"/>
        <v/>
      </c>
    </row>
  </sheetData>
  <sheetProtection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16:G28">
    <cfRule type="cellIs" dxfId="119" priority="11" operator="equal">
      <formula>$T$9</formula>
    </cfRule>
    <cfRule type="cellIs" dxfId="118" priority="12" operator="equal">
      <formula>$T$10</formula>
    </cfRule>
    <cfRule type="cellIs" dxfId="117" priority="13" operator="equal">
      <formula>$T$11</formula>
    </cfRule>
    <cfRule type="cellIs" dxfId="116" priority="14" operator="equal">
      <formula>$T$12</formula>
    </cfRule>
    <cfRule type="cellIs" dxfId="115" priority="15" operator="equal">
      <formula>$T$13</formula>
    </cfRule>
  </conditionalFormatting>
  <conditionalFormatting sqref="F9:F28">
    <cfRule type="cellIs" dxfId="114" priority="169" operator="equal">
      <formula>$P$9</formula>
    </cfRule>
    <cfRule type="cellIs" dxfId="113" priority="170" operator="equal">
      <formula>$P$10</formula>
    </cfRule>
    <cfRule type="cellIs" dxfId="112" priority="171" operator="equal">
      <formula>$P$11</formula>
    </cfRule>
    <cfRule type="cellIs" dxfId="111" priority="172" operator="equal">
      <formula>$P$12</formula>
    </cfRule>
    <cfRule type="cellIs" dxfId="110" priority="173" operator="equal">
      <formula>$P$13</formula>
    </cfRule>
  </conditionalFormatting>
  <conditionalFormatting sqref="H9:H28">
    <cfRule type="cellIs" dxfId="109" priority="86" operator="equal">
      <formula>$W$9</formula>
    </cfRule>
    <cfRule type="cellIs" dxfId="108" priority="87" operator="equal">
      <formula>$W$10</formula>
    </cfRule>
    <cfRule type="cellIs" dxfId="107" priority="88" operator="equal">
      <formula>$W$11</formula>
    </cfRule>
    <cfRule type="cellIs" dxfId="106" priority="89" operator="equal">
      <formula>$W$12</formula>
    </cfRule>
    <cfRule type="cellIs" dxfId="105" priority="90" operator="equal">
      <formula>$W$13</formula>
    </cfRule>
  </conditionalFormatting>
  <conditionalFormatting sqref="I16:J28 I9:I15">
    <cfRule type="cellIs" dxfId="104" priority="91" operator="equal">
      <formula>$V$9</formula>
    </cfRule>
    <cfRule type="cellIs" dxfId="103" priority="92" operator="equal">
      <formula>$V$10</formula>
    </cfRule>
    <cfRule type="cellIs" dxfId="102" priority="93" operator="equal">
      <formula>$V$11</formula>
    </cfRule>
    <cfRule type="cellIs" dxfId="101" priority="94" operator="equal">
      <formula>$V$12</formula>
    </cfRule>
    <cfRule type="cellIs" dxfId="100" priority="95" operator="equal">
      <formula>$V$13</formula>
    </cfRule>
  </conditionalFormatting>
  <conditionalFormatting sqref="K9:K28">
    <cfRule type="cellIs" dxfId="99" priority="71" operator="equal">
      <formula>$W$9</formula>
    </cfRule>
    <cfRule type="cellIs" dxfId="98" priority="72" operator="equal">
      <formula>$W$10</formula>
    </cfRule>
    <cfRule type="cellIs" dxfId="97" priority="73" operator="equal">
      <formula>$W$11</formula>
    </cfRule>
    <cfRule type="cellIs" dxfId="96" priority="74" operator="equal">
      <formula>$W$12</formula>
    </cfRule>
    <cfRule type="cellIs" dxfId="95" priority="75" operator="equal">
      <formula>$W$13</formula>
    </cfRule>
  </conditionalFormatting>
  <conditionalFormatting sqref="L9:L28">
    <cfRule type="cellIs" dxfId="94" priority="106" operator="equal">
      <formula>$V$9</formula>
    </cfRule>
    <cfRule type="cellIs" dxfId="93" priority="107" operator="equal">
      <formula>$V$10</formula>
    </cfRule>
    <cfRule type="cellIs" dxfId="92" priority="108" operator="equal">
      <formula>$V$11</formula>
    </cfRule>
    <cfRule type="cellIs" dxfId="91" priority="109" operator="equal">
      <formula>$V$12</formula>
    </cfRule>
    <cfRule type="cellIs" dxfId="90" priority="110" operator="equal">
      <formula>$V$13</formula>
    </cfRule>
  </conditionalFormatting>
  <conditionalFormatting sqref="M9:M28">
    <cfRule type="cellIs" dxfId="89" priority="16" operator="equal">
      <formula>$W$9</formula>
    </cfRule>
    <cfRule type="cellIs" dxfId="88" priority="17" operator="equal">
      <formula>$W$10</formula>
    </cfRule>
    <cfRule type="cellIs" dxfId="87" priority="18" operator="equal">
      <formula>$W$11</formula>
    </cfRule>
    <cfRule type="cellIs" dxfId="86" priority="19" operator="equal">
      <formula>$W$12</formula>
    </cfRule>
    <cfRule type="cellIs" dxfId="85" priority="20" operator="equal">
      <formula>$W$13</formula>
    </cfRule>
  </conditionalFormatting>
  <conditionalFormatting sqref="N9:N28">
    <cfRule type="cellIs" dxfId="84" priority="41" operator="equal">
      <formula>$V$9</formula>
    </cfRule>
    <cfRule type="cellIs" dxfId="83" priority="42" operator="equal">
      <formula>$V$10</formula>
    </cfRule>
    <cfRule type="cellIs" dxfId="82" priority="43" operator="equal">
      <formula>$V$11</formula>
    </cfRule>
    <cfRule type="cellIs" dxfId="81" priority="44" operator="equal">
      <formula>$V$12</formula>
    </cfRule>
    <cfRule type="cellIs" dxfId="80" priority="45" operator="equal">
      <formula>$V$13</formula>
    </cfRule>
  </conditionalFormatting>
  <conditionalFormatting sqref="G9:G15">
    <cfRule type="cellIs" dxfId="79" priority="6" operator="equal">
      <formula>$T$12</formula>
    </cfRule>
    <cfRule type="cellIs" dxfId="78" priority="7" operator="equal">
      <formula>$T$13</formula>
    </cfRule>
    <cfRule type="cellIs" dxfId="77" priority="8" operator="equal">
      <formula>$T$14</formula>
    </cfRule>
    <cfRule type="cellIs" dxfId="76" priority="9" operator="equal">
      <formula>$T$15</formula>
    </cfRule>
    <cfRule type="cellIs" dxfId="75" priority="10" operator="equal">
      <formula>$T$16</formula>
    </cfRule>
  </conditionalFormatting>
  <conditionalFormatting sqref="J9:J15">
    <cfRule type="cellIs" dxfId="74" priority="1" operator="equal">
      <formula>$V$12</formula>
    </cfRule>
    <cfRule type="cellIs" dxfId="73" priority="2" operator="equal">
      <formula>$V$13</formula>
    </cfRule>
    <cfRule type="cellIs" dxfId="72" priority="3" operator="equal">
      <formula>$V$14</formula>
    </cfRule>
    <cfRule type="cellIs" dxfId="71" priority="4" operator="equal">
      <formula>$V$15</formula>
    </cfRule>
    <cfRule type="cellIs" dxfId="70" priority="5" operator="equal">
      <formula>$V$16</formula>
    </cfRule>
  </conditionalFormatting>
  <dataValidations count="7">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16:G28" xr:uid="{00000000-0002-0000-0300-000003000000}">
      <formula1>Afectación_Económica</formula1>
    </dataValidation>
    <dataValidation type="list" allowBlank="1" showInputMessage="1" showErrorMessage="1" sqref="J16:J28" xr:uid="{00000000-0002-0000-0300-000004000000}">
      <formula1>Reputacional</formula1>
    </dataValidation>
    <dataValidation type="list" allowBlank="1" showErrorMessage="1" sqref="G9:G15" xr:uid="{8B46168B-C59F-4FCB-9F84-59E94B4188C0}">
      <formula1>Afectación_Económica</formula1>
    </dataValidation>
    <dataValidation type="list" allowBlank="1" showErrorMessage="1" sqref="J9:J15" xr:uid="{061BB8C1-4953-4824-8B93-DEF0C6D800F3}">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A16" sqref="A16:XFD28"/>
    </sheetView>
  </sheetViews>
  <sheetFormatPr baseColWidth="10" defaultColWidth="0" defaultRowHeight="12.75" x14ac:dyDescent="0.25"/>
  <cols>
    <col min="1" max="1" width="12.85546875" style="67" customWidth="1"/>
    <col min="2" max="2" width="29.42578125" style="72" customWidth="1"/>
    <col min="3" max="3" width="16.42578125" style="67" customWidth="1"/>
    <col min="4" max="4" width="12.42578125" style="72" customWidth="1"/>
    <col min="5" max="5" width="25" style="72" customWidth="1"/>
    <col min="6" max="6" width="3.85546875" style="72" customWidth="1"/>
    <col min="7" max="7" width="7.42578125" style="72" customWidth="1"/>
    <col min="8" max="8" width="14" style="72" customWidth="1"/>
    <col min="9" max="9" width="13.85546875" style="72" customWidth="1"/>
    <col min="10" max="13" width="12.42578125" style="72" customWidth="1"/>
    <col min="14" max="14" width="3.85546875" style="72" customWidth="1"/>
    <col min="15" max="15" width="4.85546875" style="67" customWidth="1"/>
    <col min="16" max="16" width="6.42578125" style="67" customWidth="1"/>
    <col min="17" max="17" width="11" style="67" bestFit="1" customWidth="1"/>
    <col min="18" max="22" width="12" style="67" customWidth="1"/>
    <col min="23" max="23" width="11.42578125" style="67" customWidth="1"/>
    <col min="24" max="27" width="11.42578125" style="67" hidden="1" customWidth="1"/>
    <col min="28" max="28" width="5.42578125" style="67" hidden="1" customWidth="1"/>
    <col min="29" max="29" width="26.85546875" style="67" hidden="1" customWidth="1"/>
    <col min="30" max="34" width="22.85546875" style="72" hidden="1" customWidth="1"/>
    <col min="35" max="35" width="23.42578125" style="67" hidden="1" customWidth="1"/>
    <col min="36" max="263" width="11.42578125" style="67" hidden="1" customWidth="1"/>
    <col min="264" max="264" width="12.42578125" style="67" hidden="1" customWidth="1"/>
    <col min="265" max="265" width="47" style="67" hidden="1" customWidth="1"/>
    <col min="266" max="266" width="35" style="67" hidden="1" customWidth="1"/>
    <col min="267" max="16384" width="14.42578125" style="67" hidden="1"/>
  </cols>
  <sheetData>
    <row r="1" spans="1:36" s="55" customFormat="1" ht="36" customHeight="1" x14ac:dyDescent="0.2">
      <c r="A1" s="476"/>
      <c r="B1" s="482" t="str">
        <f>+'2 CONTEXTO E IDENTIFICACIÓN'!A1</f>
        <v>MAPA DE RIESGOS</v>
      </c>
      <c r="C1" s="472"/>
      <c r="D1" s="473"/>
      <c r="AD1" s="56"/>
      <c r="AE1" s="56"/>
      <c r="AF1" s="56"/>
      <c r="AG1" s="56"/>
      <c r="AH1" s="56"/>
    </row>
    <row r="2" spans="1:36" s="55" customFormat="1" ht="36" customHeight="1" x14ac:dyDescent="0.2">
      <c r="A2" s="476"/>
      <c r="B2" s="482"/>
      <c r="C2" s="38" t="str">
        <f>+'2 CONTEXTO E IDENTIFICACIÓN'!A2</f>
        <v>VERSIÓN:</v>
      </c>
      <c r="D2" s="54">
        <f>'2 CONTEXTO E IDENTIFICACIÓN'!B2</f>
        <v>1</v>
      </c>
      <c r="E2" s="57"/>
      <c r="F2" s="57"/>
      <c r="G2" s="57"/>
      <c r="H2" s="3"/>
      <c r="I2" s="216" t="str">
        <f>+'2 CONTEXTO E IDENTIFICACIÓN'!$I$4</f>
        <v>Elaboración o Actualización:</v>
      </c>
      <c r="J2" s="230" t="str">
        <f>'2 CONTEXTO E IDENTIFICACIÓN'!J4</f>
        <v>9 de diciembre de 2025</v>
      </c>
      <c r="K2" s="13"/>
      <c r="L2" s="13"/>
      <c r="M2" s="58"/>
      <c r="N2" s="57"/>
      <c r="AD2" s="56"/>
      <c r="AE2" s="56"/>
      <c r="AF2" s="56"/>
      <c r="AG2" s="56"/>
      <c r="AH2" s="56"/>
    </row>
    <row r="3" spans="1:36" s="55" customFormat="1" ht="27.95" customHeight="1" x14ac:dyDescent="0.2">
      <c r="A3" s="59"/>
      <c r="B3" s="57"/>
      <c r="C3" s="40"/>
      <c r="D3" s="58"/>
      <c r="E3" s="57"/>
      <c r="F3" s="57"/>
      <c r="G3" s="57"/>
      <c r="I3" s="219" t="str">
        <f>+'2 CONTEXTO E IDENTIFICACIÓN'!$E$5</f>
        <v>Vigencia:  2026</v>
      </c>
      <c r="J3" s="217" t="str">
        <f>'2 CONTEXTO E IDENTIFICACIÓN'!G5</f>
        <v>1 de enero de 2026</v>
      </c>
      <c r="K3" s="218" t="s">
        <v>99</v>
      </c>
      <c r="L3" s="215" t="str">
        <f>'2 CONTEXTO E IDENTIFICACIÓN'!J5</f>
        <v>31 de diciembre de 2026</v>
      </c>
      <c r="M3" s="58"/>
      <c r="N3" s="57"/>
      <c r="AD3" s="56"/>
      <c r="AE3" s="56"/>
      <c r="AF3" s="56"/>
      <c r="AG3" s="56"/>
      <c r="AH3" s="56"/>
    </row>
    <row r="4" spans="1:36" s="55" customFormat="1" ht="15" x14ac:dyDescent="0.2">
      <c r="A4" s="12" t="s">
        <v>95</v>
      </c>
      <c r="B4" s="486" t="str">
        <f>'2 CONTEXTO E IDENTIFICACIÓN'!B4</f>
        <v>SUPERSOLIDARIA</v>
      </c>
      <c r="C4" s="487"/>
      <c r="D4" s="488"/>
      <c r="AD4" s="56"/>
      <c r="AE4" s="56"/>
      <c r="AF4" s="56"/>
      <c r="AG4" s="56"/>
      <c r="AH4" s="56"/>
    </row>
    <row r="5" spans="1:36" s="55" customFormat="1" ht="15.75" thickBot="1" x14ac:dyDescent="0.25">
      <c r="A5" s="12" t="s">
        <v>96</v>
      </c>
      <c r="B5" s="462" t="str">
        <f>'2 CONTEXTO E IDENTIFICACIÓN'!F4</f>
        <v>GEGI</v>
      </c>
      <c r="C5" s="463"/>
      <c r="D5" s="463"/>
      <c r="AD5" s="56"/>
      <c r="AE5" s="56"/>
      <c r="AF5" s="56"/>
      <c r="AG5" s="56"/>
      <c r="AH5" s="56"/>
    </row>
    <row r="6" spans="1:36" s="55" customFormat="1" ht="15.75" thickBot="1" x14ac:dyDescent="0.25">
      <c r="A6" s="223"/>
      <c r="B6" s="222"/>
      <c r="C6" s="222"/>
      <c r="D6" s="58"/>
      <c r="G6" s="483" t="s">
        <v>301</v>
      </c>
      <c r="H6" s="484"/>
      <c r="I6" s="484"/>
      <c r="J6" s="484"/>
      <c r="K6" s="484"/>
      <c r="L6" s="484"/>
      <c r="M6" s="485"/>
      <c r="O6" s="60"/>
      <c r="P6" s="60"/>
      <c r="Q6" s="61"/>
      <c r="R6" s="474" t="s">
        <v>165</v>
      </c>
      <c r="S6" s="474"/>
      <c r="T6" s="474"/>
      <c r="U6" s="474"/>
      <c r="V6" s="475"/>
      <c r="AD6" s="56"/>
      <c r="AE6" s="56"/>
      <c r="AF6" s="56"/>
      <c r="AG6" s="56"/>
      <c r="AH6" s="56"/>
    </row>
    <row r="7" spans="1:36" x14ac:dyDescent="0.25">
      <c r="A7" s="62"/>
      <c r="B7" s="63"/>
      <c r="C7" s="477" t="s">
        <v>302</v>
      </c>
      <c r="D7" s="477"/>
      <c r="E7" s="477"/>
      <c r="F7" s="64"/>
      <c r="G7" s="65"/>
      <c r="H7" s="66"/>
      <c r="I7" s="474" t="s">
        <v>165</v>
      </c>
      <c r="J7" s="474"/>
      <c r="K7" s="474"/>
      <c r="L7" s="474"/>
      <c r="M7" s="475"/>
      <c r="N7" s="64"/>
      <c r="O7" s="68"/>
      <c r="P7" s="68"/>
      <c r="R7" s="69">
        <v>0.2</v>
      </c>
      <c r="S7" s="69">
        <v>0.4</v>
      </c>
      <c r="T7" s="69">
        <v>0.6</v>
      </c>
      <c r="U7" s="69">
        <v>0.8</v>
      </c>
      <c r="V7" s="70">
        <v>1</v>
      </c>
      <c r="W7" s="71"/>
      <c r="X7" s="71"/>
      <c r="Y7" s="71"/>
      <c r="Z7" s="71"/>
      <c r="AA7" s="71"/>
      <c r="AB7" s="71"/>
      <c r="AC7" s="71"/>
    </row>
    <row r="8" spans="1:36" ht="25.5" x14ac:dyDescent="0.2">
      <c r="A8" s="73" t="s">
        <v>303</v>
      </c>
      <c r="B8" s="74" t="s">
        <v>304</v>
      </c>
      <c r="C8" s="75" t="s">
        <v>260</v>
      </c>
      <c r="D8" s="75" t="s">
        <v>261</v>
      </c>
      <c r="E8" s="76" t="s">
        <v>69</v>
      </c>
      <c r="F8" s="64"/>
      <c r="G8" s="68"/>
      <c r="H8" s="77"/>
      <c r="I8" s="78" t="s">
        <v>279</v>
      </c>
      <c r="J8" s="78" t="s">
        <v>283</v>
      </c>
      <c r="K8" s="78" t="s">
        <v>287</v>
      </c>
      <c r="L8" s="78" t="s">
        <v>292</v>
      </c>
      <c r="M8" s="79" t="s">
        <v>297</v>
      </c>
      <c r="N8" s="64"/>
      <c r="O8" s="68"/>
      <c r="P8" s="68"/>
      <c r="Q8" s="80"/>
      <c r="R8" s="81" t="s">
        <v>279</v>
      </c>
      <c r="S8" s="81" t="s">
        <v>283</v>
      </c>
      <c r="T8" s="81" t="s">
        <v>287</v>
      </c>
      <c r="U8" s="81" t="s">
        <v>292</v>
      </c>
      <c r="V8" s="82" t="s">
        <v>297</v>
      </c>
      <c r="Y8" s="71"/>
      <c r="Z8" s="71"/>
      <c r="AA8" s="83"/>
      <c r="AB8" s="83"/>
      <c r="AC8" s="83"/>
      <c r="AD8" s="83"/>
      <c r="AE8" s="83"/>
      <c r="AF8" s="83"/>
      <c r="AG8" s="83"/>
      <c r="AH8" s="83"/>
      <c r="AI8" s="83"/>
      <c r="AJ8" s="83"/>
    </row>
    <row r="9" spans="1:36" ht="93" customHeight="1" x14ac:dyDescent="0.2">
      <c r="A9" s="84" t="str">
        <f>'2 CONTEXTO E IDENTIFICACIÓN'!A9</f>
        <v>GEGI-1</v>
      </c>
      <c r="B9" s="85" t="str">
        <f>+'2 CONTEXTO E IDENTIFICACIÓN'!J9</f>
        <v>Posibilidad de afectación reputacional porpor insatisfacción de los grupos de valor a causa de una orientación inadecuada en la prestación del servicio</v>
      </c>
      <c r="C9" s="86" t="str">
        <f>+'3 PROBABIL E IMPACTO INHERENTE'!F9</f>
        <v>Media</v>
      </c>
      <c r="D9" s="86" t="str">
        <f>+'3 PROBABIL E IMPACTO INHERENTE'!N9</f>
        <v>Menor</v>
      </c>
      <c r="E9" s="85"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7"/>
      <c r="G9" s="480" t="s">
        <v>146</v>
      </c>
      <c r="H9" s="78" t="s">
        <v>295</v>
      </c>
      <c r="I9" s="88"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8"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8"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8"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89"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7"/>
      <c r="O9" s="478" t="s">
        <v>146</v>
      </c>
      <c r="P9" s="90">
        <v>1</v>
      </c>
      <c r="Q9" s="81" t="s">
        <v>295</v>
      </c>
      <c r="R9" s="88" t="s">
        <v>305</v>
      </c>
      <c r="S9" s="88" t="s">
        <v>305</v>
      </c>
      <c r="T9" s="88" t="s">
        <v>305</v>
      </c>
      <c r="U9" s="88" t="s">
        <v>305</v>
      </c>
      <c r="V9" s="89" t="s">
        <v>306</v>
      </c>
      <c r="Y9" s="71"/>
      <c r="Z9" s="71"/>
      <c r="AA9" s="83"/>
      <c r="AB9" s="83"/>
      <c r="AC9" s="83"/>
      <c r="AD9" s="91"/>
      <c r="AE9" s="91"/>
      <c r="AF9" s="91"/>
      <c r="AG9" s="91"/>
      <c r="AH9" s="91"/>
      <c r="AI9" s="83"/>
      <c r="AJ9" s="83"/>
    </row>
    <row r="10" spans="1:36" ht="93" customHeight="1" x14ac:dyDescent="0.2">
      <c r="A10" s="84" t="str">
        <f>'2 CONTEXTO E IDENTIFICACIÓN'!A10</f>
        <v>GEGI-2</v>
      </c>
      <c r="B10" s="85" t="str">
        <f>+'2 CONTEXTO E IDENTIFICACIÓN'!J10</f>
        <v>Posibilidad de afectación reputacional porinsatisfacción de los grupos de valor y/o sanciones de entes de control a causa de incumplimiento de los términos de ley para la gestión de solicitudes.</v>
      </c>
      <c r="C10" s="86" t="str">
        <f>+'3 PROBABIL E IMPACTO INHERENTE'!F10</f>
        <v>Media</v>
      </c>
      <c r="D10" s="86" t="str">
        <f>+'3 PROBABIL E IMPACTO INHERENTE'!N10</f>
        <v>Catastrófico</v>
      </c>
      <c r="E10" s="85"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Extremo</v>
      </c>
      <c r="F10" s="87"/>
      <c r="G10" s="480"/>
      <c r="H10" s="78" t="s">
        <v>290</v>
      </c>
      <c r="I10" s="92"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2"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8"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8"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89"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7"/>
      <c r="O10" s="478"/>
      <c r="P10" s="90">
        <v>0.8</v>
      </c>
      <c r="Q10" s="81" t="s">
        <v>290</v>
      </c>
      <c r="R10" s="92" t="s">
        <v>287</v>
      </c>
      <c r="S10" s="92" t="s">
        <v>287</v>
      </c>
      <c r="T10" s="88" t="s">
        <v>305</v>
      </c>
      <c r="U10" s="88" t="s">
        <v>305</v>
      </c>
      <c r="V10" s="89" t="s">
        <v>306</v>
      </c>
      <c r="Y10" s="71"/>
      <c r="Z10" s="71"/>
      <c r="AA10" s="83"/>
      <c r="AB10" s="93"/>
      <c r="AC10" s="94"/>
      <c r="AD10" s="91"/>
      <c r="AE10" s="91"/>
      <c r="AF10" s="91"/>
      <c r="AG10" s="91"/>
      <c r="AH10" s="91"/>
      <c r="AI10" s="83"/>
      <c r="AJ10" s="83"/>
    </row>
    <row r="11" spans="1:36" ht="93" customHeight="1" x14ac:dyDescent="0.2">
      <c r="A11" s="84" t="str">
        <f>'2 CONTEXTO E IDENTIFICACIÓN'!A11</f>
        <v>GEGI-10</v>
      </c>
      <c r="B11" s="85" t="str">
        <f>+'2 CONTEXTO E IDENTIFICACIÓN'!J11</f>
        <v>Posibilidad de afectación reputacional porfalta de comunicación y credibilidad en la SES a causa de la publicación de información emitida sin la correcta divulgación al interior de la entidad.</v>
      </c>
      <c r="C11" s="86" t="str">
        <f>+'3 PROBABIL E IMPACTO INHERENTE'!F11</f>
        <v>Baja</v>
      </c>
      <c r="D11" s="86" t="str">
        <f>+'3 PROBABIL E IMPACTO INHERENTE'!N11</f>
        <v>Leve</v>
      </c>
      <c r="E11" s="85"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Bajo</v>
      </c>
      <c r="F11" s="87"/>
      <c r="G11" s="480"/>
      <c r="H11" s="78" t="s">
        <v>285</v>
      </c>
      <c r="I11" s="92"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2"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GEGI-1                   </v>
      </c>
      <c r="K11" s="92"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v>
      </c>
      <c r="L11" s="88"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89"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GEGI-2                  </v>
      </c>
      <c r="N11" s="87"/>
      <c r="O11" s="478"/>
      <c r="P11" s="90">
        <v>0.6</v>
      </c>
      <c r="Q11" s="81" t="s">
        <v>285</v>
      </c>
      <c r="R11" s="92" t="s">
        <v>287</v>
      </c>
      <c r="S11" s="92" t="s">
        <v>287</v>
      </c>
      <c r="T11" s="92" t="s">
        <v>287</v>
      </c>
      <c r="U11" s="88" t="s">
        <v>305</v>
      </c>
      <c r="V11" s="89" t="s">
        <v>306</v>
      </c>
      <c r="Y11" s="71"/>
      <c r="Z11" s="71"/>
      <c r="AA11" s="83"/>
      <c r="AB11" s="93"/>
      <c r="AC11" s="94"/>
      <c r="AD11" s="91"/>
      <c r="AE11" s="91"/>
      <c r="AF11" s="91"/>
      <c r="AG11" s="91"/>
      <c r="AH11" s="95"/>
      <c r="AI11" s="83"/>
      <c r="AJ11" s="83"/>
    </row>
    <row r="12" spans="1:36" ht="93" customHeight="1" x14ac:dyDescent="0.2">
      <c r="A12" s="84" t="str">
        <f>'2 CONTEXTO E IDENTIFICACIÓN'!A12</f>
        <v>GEGI-13</v>
      </c>
      <c r="B12" s="85" t="str">
        <f>+'2 CONTEXTO E IDENTIFICACIÓN'!J12</f>
        <v>Posibilidad de afectación económica y reputacional porafectación a los asistentes a actividades organizadas por la SES a causa de falta de planeación previa a la ejecución de las actividades organizadas con 100 o hasta 500 personas.</v>
      </c>
      <c r="C12" s="86" t="str">
        <f>+'3 PROBABIL E IMPACTO INHERENTE'!F12</f>
        <v>Baja</v>
      </c>
      <c r="D12" s="86" t="str">
        <f>+'3 PROBABIL E IMPACTO INHERENTE'!N12</f>
        <v>Moderado</v>
      </c>
      <c r="E12" s="85"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87"/>
      <c r="G12" s="480"/>
      <c r="H12" s="78" t="s">
        <v>281</v>
      </c>
      <c r="I12" s="96"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GEGI-10   GEGI-15 GEGI-12             </v>
      </c>
      <c r="J12" s="92"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GEGI-14               </v>
      </c>
      <c r="K12" s="92"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GEGI-13                </v>
      </c>
      <c r="L12" s="88"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89"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7"/>
      <c r="O12" s="478"/>
      <c r="P12" s="90">
        <v>0.4</v>
      </c>
      <c r="Q12" s="81" t="s">
        <v>281</v>
      </c>
      <c r="R12" s="96" t="s">
        <v>307</v>
      </c>
      <c r="S12" s="92" t="s">
        <v>287</v>
      </c>
      <c r="T12" s="92" t="s">
        <v>287</v>
      </c>
      <c r="U12" s="88" t="s">
        <v>305</v>
      </c>
      <c r="V12" s="89" t="s">
        <v>306</v>
      </c>
      <c r="Y12" s="71"/>
      <c r="Z12" s="71"/>
      <c r="AA12" s="83"/>
      <c r="AB12" s="93"/>
      <c r="AC12" s="94"/>
      <c r="AD12" s="91"/>
      <c r="AE12" s="91"/>
      <c r="AF12" s="91"/>
      <c r="AG12" s="95"/>
      <c r="AH12" s="91"/>
      <c r="AI12" s="83"/>
      <c r="AJ12" s="83"/>
    </row>
    <row r="13" spans="1:36" ht="93" customHeight="1" thickBot="1" x14ac:dyDescent="0.25">
      <c r="A13" s="84" t="str">
        <f>'2 CONTEXTO E IDENTIFICACIÓN'!A13</f>
        <v>GEGI-14</v>
      </c>
      <c r="B13" s="85" t="str">
        <f>+'2 CONTEXTO E IDENTIFICACIÓN'!J13</f>
        <v>Posibilidad de pérdida reputacional porsolicitar o recibir dádivas para adelantar trámites ante la Supersolidaria a causa de desconocimiento de los servicios dispuestos por la SES por parte de las entidades de economía solidaria, asociados y ciudadanía en general en la solicitud de trámites.</v>
      </c>
      <c r="C13" s="86" t="str">
        <f>+'3 PROBABIL E IMPACTO INHERENTE'!F13</f>
        <v>Baja</v>
      </c>
      <c r="D13" s="86" t="str">
        <f>+'3 PROBABIL E IMPACTO INHERENTE'!N13</f>
        <v>Menor</v>
      </c>
      <c r="E13" s="85" t="str">
        <f t="shared" si="0"/>
        <v>Moderado</v>
      </c>
      <c r="F13" s="87"/>
      <c r="G13" s="481"/>
      <c r="H13" s="97" t="s">
        <v>277</v>
      </c>
      <c r="I13" s="98"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8"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99"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0"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1"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7"/>
      <c r="O13" s="479"/>
      <c r="P13" s="102">
        <v>0.2</v>
      </c>
      <c r="Q13" s="103" t="s">
        <v>277</v>
      </c>
      <c r="R13" s="98" t="s">
        <v>307</v>
      </c>
      <c r="S13" s="98" t="s">
        <v>307</v>
      </c>
      <c r="T13" s="99" t="s">
        <v>287</v>
      </c>
      <c r="U13" s="100" t="s">
        <v>305</v>
      </c>
      <c r="V13" s="101" t="s">
        <v>306</v>
      </c>
      <c r="Y13" s="71"/>
      <c r="Z13" s="71"/>
      <c r="AA13" s="83"/>
      <c r="AB13" s="93"/>
      <c r="AC13" s="94"/>
      <c r="AD13" s="91"/>
      <c r="AE13" s="91"/>
      <c r="AF13" s="91"/>
      <c r="AG13" s="104"/>
      <c r="AH13" s="91"/>
      <c r="AI13" s="83"/>
      <c r="AJ13" s="83"/>
    </row>
    <row r="14" spans="1:36" ht="93" customHeight="1" x14ac:dyDescent="0.2">
      <c r="A14" s="84" t="str">
        <f>'2 CONTEXTO E IDENTIFICACIÓN'!A14</f>
        <v>GEGI-15</v>
      </c>
      <c r="B14" s="85" t="str">
        <f>+'2 CONTEXTO E IDENTIFICACIÓN'!J14</f>
        <v>Posibilidad de pérdida reputacional porfalta de interiorización de los valores institucionales señalados en el Código de Integridad por parte de los servidores de la entidad a causa de desconocimiento y/o falta de apropiación de la politica de conflictos de interés de la SES lo que podria generar recibir beneficios particulares o para un tercero por suministrar a traves de los canales de atención y comunicación de la SES información especifica de alguna organización solidaria vigilada o sus asociados.</v>
      </c>
      <c r="C14" s="86" t="str">
        <f>+'3 PROBABIL E IMPACTO INHERENTE'!F14</f>
        <v>Baja</v>
      </c>
      <c r="D14" s="86" t="str">
        <f>+'3 PROBABIL E IMPACTO INHERENTE'!N14</f>
        <v>Leve</v>
      </c>
      <c r="E14" s="85" t="str">
        <f t="shared" si="0"/>
        <v>Bajo</v>
      </c>
      <c r="F14" s="87"/>
      <c r="G14" s="87"/>
      <c r="H14" s="87"/>
      <c r="I14" s="87"/>
      <c r="J14" s="87"/>
      <c r="K14" s="87"/>
      <c r="L14" s="87"/>
      <c r="M14" s="87"/>
      <c r="N14" s="87"/>
      <c r="Y14" s="71"/>
      <c r="Z14" s="71"/>
      <c r="AA14" s="83"/>
      <c r="AB14" s="93"/>
      <c r="AC14" s="94"/>
      <c r="AD14" s="91"/>
      <c r="AE14" s="91"/>
      <c r="AF14" s="91"/>
      <c r="AG14" s="91"/>
      <c r="AH14" s="91"/>
      <c r="AI14" s="83"/>
      <c r="AJ14" s="83"/>
    </row>
    <row r="15" spans="1:36" ht="93" customHeight="1" x14ac:dyDescent="0.2">
      <c r="A15" s="84" t="str">
        <f>'2 CONTEXTO E IDENTIFICACIÓN'!A15</f>
        <v>GEGI-12</v>
      </c>
      <c r="B15" s="85" t="str">
        <f>+'2 CONTEXTO E IDENTIFICACIÓN'!J15</f>
        <v>Posibilidad de pérdida reputacional porrecibir un beneficio particular o para un tercero a causa de suministrar a través de los canales de atención y comunicación de la SES información especifica de alguna organización solidaria vigilada o sus asociados.</v>
      </c>
      <c r="C15" s="86" t="str">
        <f>+'3 PROBABIL E IMPACTO INHERENTE'!F15</f>
        <v>Baja</v>
      </c>
      <c r="D15" s="86" t="str">
        <f>+'3 PROBABIL E IMPACTO INHERENTE'!N15</f>
        <v>Leve</v>
      </c>
      <c r="E15" s="85" t="str">
        <f t="shared" si="0"/>
        <v>Bajo</v>
      </c>
      <c r="F15" s="87"/>
      <c r="G15" s="87"/>
      <c r="H15" s="87"/>
      <c r="I15" s="87"/>
      <c r="J15" s="87"/>
      <c r="K15" s="87"/>
      <c r="L15" s="87"/>
      <c r="M15" s="87"/>
      <c r="N15" s="87"/>
      <c r="R15" s="75" t="s">
        <v>308</v>
      </c>
      <c r="T15" s="71"/>
      <c r="U15" s="71"/>
      <c r="V15" s="71"/>
      <c r="W15" s="71"/>
      <c r="X15" s="71"/>
      <c r="Y15" s="71"/>
      <c r="Z15" s="71"/>
      <c r="AA15" s="83"/>
      <c r="AB15" s="93"/>
      <c r="AC15" s="83"/>
      <c r="AD15" s="94"/>
      <c r="AE15" s="94"/>
      <c r="AF15" s="94"/>
      <c r="AG15" s="94"/>
      <c r="AH15" s="94"/>
      <c r="AI15" s="83"/>
      <c r="AJ15" s="83"/>
    </row>
    <row r="16" spans="1:36" ht="93" hidden="1" customHeight="1" x14ac:dyDescent="0.2">
      <c r="A16" s="84" t="str">
        <f>'2 CONTEXTO E IDENTIFICACIÓN'!A16</f>
        <v>R8</v>
      </c>
      <c r="B16" s="85" t="str">
        <f>+'2 CONTEXTO E IDENTIFICACIÓN'!J16</f>
        <v xml:space="preserve"> por a causa de </v>
      </c>
      <c r="C16" s="86" t="str">
        <f>+'3 PROBABIL E IMPACTO INHERENTE'!F16</f>
        <v/>
      </c>
      <c r="D16" s="86" t="str">
        <f>+'3 PROBABIL E IMPACTO INHERENTE'!N16</f>
        <v/>
      </c>
      <c r="E16" s="85" t="str">
        <f t="shared" si="0"/>
        <v/>
      </c>
      <c r="F16" s="87"/>
      <c r="G16" s="87"/>
      <c r="H16" s="87"/>
      <c r="I16" s="87"/>
      <c r="J16" s="87"/>
      <c r="K16" s="87"/>
      <c r="L16" s="87"/>
      <c r="M16" s="87"/>
      <c r="N16" s="87"/>
      <c r="R16" s="105" t="s">
        <v>306</v>
      </c>
      <c r="T16" s="71"/>
      <c r="U16" s="71"/>
      <c r="V16" s="71"/>
      <c r="W16" s="71"/>
      <c r="X16" s="71"/>
      <c r="Y16" s="71"/>
      <c r="Z16" s="71"/>
      <c r="AA16" s="83"/>
      <c r="AB16" s="83"/>
      <c r="AC16" s="83"/>
      <c r="AD16" s="91"/>
      <c r="AE16" s="91"/>
      <c r="AF16" s="91"/>
      <c r="AG16" s="91"/>
      <c r="AH16" s="91"/>
      <c r="AI16" s="83"/>
      <c r="AJ16" s="83"/>
    </row>
    <row r="17" spans="1:36" ht="93" hidden="1" customHeight="1" x14ac:dyDescent="0.2">
      <c r="A17" s="84" t="str">
        <f>'2 CONTEXTO E IDENTIFICACIÓN'!A17</f>
        <v>R9</v>
      </c>
      <c r="B17" s="85" t="str">
        <f>+'2 CONTEXTO E IDENTIFICACIÓN'!J17</f>
        <v xml:space="preserve"> por a causa de </v>
      </c>
      <c r="C17" s="86" t="str">
        <f>+'3 PROBABIL E IMPACTO INHERENTE'!F17</f>
        <v/>
      </c>
      <c r="D17" s="86" t="str">
        <f>+'3 PROBABIL E IMPACTO INHERENTE'!N17</f>
        <v/>
      </c>
      <c r="E17" s="85" t="str">
        <f t="shared" si="0"/>
        <v/>
      </c>
      <c r="F17" s="87"/>
      <c r="G17" s="87"/>
      <c r="H17" s="87"/>
      <c r="I17" s="87"/>
      <c r="J17" s="87"/>
      <c r="K17" s="87"/>
      <c r="L17" s="87"/>
      <c r="M17" s="87"/>
      <c r="N17" s="87"/>
      <c r="R17" s="88" t="s">
        <v>305</v>
      </c>
      <c r="S17" s="71"/>
      <c r="T17" s="71"/>
      <c r="U17" s="71"/>
      <c r="V17" s="71"/>
      <c r="W17" s="71"/>
      <c r="X17" s="71"/>
      <c r="Y17" s="71"/>
      <c r="Z17" s="71"/>
      <c r="AA17" s="83"/>
      <c r="AB17" s="83"/>
      <c r="AC17" s="83"/>
      <c r="AD17" s="91"/>
      <c r="AE17" s="91"/>
      <c r="AF17" s="91"/>
      <c r="AG17" s="91"/>
      <c r="AH17" s="91"/>
      <c r="AI17" s="83"/>
      <c r="AJ17" s="83"/>
    </row>
    <row r="18" spans="1:36" ht="93" hidden="1" customHeight="1" x14ac:dyDescent="0.2">
      <c r="A18" s="84" t="str">
        <f>'2 CONTEXTO E IDENTIFICACIÓN'!A18</f>
        <v>R10</v>
      </c>
      <c r="B18" s="85" t="str">
        <f>+'2 CONTEXTO E IDENTIFICACIÓN'!J18</f>
        <v xml:space="preserve"> por a causa de </v>
      </c>
      <c r="C18" s="86" t="str">
        <f>+'3 PROBABIL E IMPACTO INHERENTE'!F18</f>
        <v/>
      </c>
      <c r="D18" s="86" t="str">
        <f>+'3 PROBABIL E IMPACTO INHERENTE'!N18</f>
        <v/>
      </c>
      <c r="E18" s="85" t="str">
        <f t="shared" si="0"/>
        <v/>
      </c>
      <c r="F18" s="87"/>
      <c r="G18" s="87"/>
      <c r="H18" s="87"/>
      <c r="I18" s="87"/>
      <c r="J18" s="87"/>
      <c r="K18" s="87"/>
      <c r="L18" s="87"/>
      <c r="M18" s="87"/>
      <c r="N18" s="87"/>
      <c r="Q18" s="106"/>
      <c r="R18" s="92" t="s">
        <v>287</v>
      </c>
      <c r="S18" s="106"/>
      <c r="T18" s="106"/>
      <c r="U18" s="106"/>
      <c r="V18" s="106"/>
      <c r="W18" s="106"/>
      <c r="X18" s="106"/>
      <c r="Y18" s="106"/>
      <c r="Z18" s="106"/>
      <c r="AA18" s="83"/>
      <c r="AB18" s="83"/>
      <c r="AC18" s="107"/>
      <c r="AD18" s="107"/>
      <c r="AE18" s="107"/>
      <c r="AF18" s="107"/>
      <c r="AG18" s="107"/>
      <c r="AH18" s="107"/>
      <c r="AI18" s="83"/>
      <c r="AJ18" s="83"/>
    </row>
    <row r="19" spans="1:36" ht="93" hidden="1" customHeight="1" x14ac:dyDescent="0.2">
      <c r="A19" s="84" t="str">
        <f>'2 CONTEXTO E IDENTIFICACIÓN'!A19</f>
        <v>R11</v>
      </c>
      <c r="B19" s="85" t="str">
        <f>+'2 CONTEXTO E IDENTIFICACIÓN'!J19</f>
        <v xml:space="preserve"> por a causa de </v>
      </c>
      <c r="C19" s="86" t="str">
        <f>+'3 PROBABIL E IMPACTO INHERENTE'!F19</f>
        <v/>
      </c>
      <c r="D19" s="86" t="str">
        <f>+'3 PROBABIL E IMPACTO INHERENTE'!N19</f>
        <v/>
      </c>
      <c r="E19" s="85" t="str">
        <f t="shared" si="0"/>
        <v/>
      </c>
      <c r="F19" s="87"/>
      <c r="G19" s="87"/>
      <c r="H19" s="87"/>
      <c r="I19" s="87"/>
      <c r="J19" s="87"/>
      <c r="K19" s="87"/>
      <c r="L19" s="87"/>
      <c r="M19" s="87"/>
      <c r="N19" s="87"/>
      <c r="Q19" s="106"/>
      <c r="R19" s="96" t="s">
        <v>307</v>
      </c>
      <c r="Y19" s="106"/>
      <c r="Z19" s="106"/>
      <c r="AA19" s="83"/>
      <c r="AB19" s="83"/>
      <c r="AC19" s="83"/>
      <c r="AD19" s="91"/>
      <c r="AE19" s="91"/>
      <c r="AF19" s="91"/>
      <c r="AG19" s="91"/>
      <c r="AH19" s="91"/>
      <c r="AI19" s="83"/>
      <c r="AJ19" s="83"/>
    </row>
    <row r="20" spans="1:36" ht="93" hidden="1" customHeight="1" x14ac:dyDescent="0.2">
      <c r="A20" s="84" t="str">
        <f>'2 CONTEXTO E IDENTIFICACIÓN'!A20</f>
        <v>R12</v>
      </c>
      <c r="B20" s="85" t="str">
        <f>+'2 CONTEXTO E IDENTIFICACIÓN'!J20</f>
        <v xml:space="preserve"> por a causa de </v>
      </c>
      <c r="C20" s="86" t="str">
        <f>+'3 PROBABIL E IMPACTO INHERENTE'!F20</f>
        <v/>
      </c>
      <c r="D20" s="86" t="str">
        <f>+'3 PROBABIL E IMPACTO INHERENTE'!N20</f>
        <v/>
      </c>
      <c r="E20" s="85" t="str">
        <f t="shared" si="0"/>
        <v/>
      </c>
      <c r="F20" s="87"/>
      <c r="G20" s="87"/>
      <c r="H20" s="87"/>
      <c r="I20" s="87"/>
      <c r="J20" s="87"/>
      <c r="K20" s="87"/>
      <c r="L20" s="87"/>
      <c r="M20" s="87"/>
      <c r="N20" s="87"/>
      <c r="O20" s="108"/>
      <c r="P20" s="108"/>
      <c r="Q20" s="106"/>
      <c r="Y20" s="106"/>
      <c r="Z20" s="106"/>
      <c r="AA20" s="83"/>
      <c r="AB20" s="83"/>
      <c r="AC20" s="83"/>
      <c r="AD20" s="91"/>
      <c r="AE20" s="91"/>
      <c r="AF20" s="91"/>
      <c r="AG20" s="91"/>
      <c r="AH20" s="91"/>
      <c r="AI20" s="83"/>
      <c r="AJ20" s="83"/>
    </row>
    <row r="21" spans="1:36" ht="93" hidden="1" customHeight="1" x14ac:dyDescent="0.2">
      <c r="A21" s="84" t="str">
        <f>'2 CONTEXTO E IDENTIFICACIÓN'!A21</f>
        <v>R13</v>
      </c>
      <c r="B21" s="85" t="str">
        <f>+'2 CONTEXTO E IDENTIFICACIÓN'!J21</f>
        <v xml:space="preserve"> por a causa de </v>
      </c>
      <c r="C21" s="86" t="str">
        <f>+'3 PROBABIL E IMPACTO INHERENTE'!F21</f>
        <v/>
      </c>
      <c r="D21" s="86" t="str">
        <f>+'3 PROBABIL E IMPACTO INHERENTE'!N21</f>
        <v/>
      </c>
      <c r="E21" s="85" t="str">
        <f t="shared" si="0"/>
        <v/>
      </c>
      <c r="F21" s="87"/>
      <c r="G21" s="87"/>
      <c r="H21" s="87"/>
      <c r="I21" s="87"/>
      <c r="J21" s="87"/>
      <c r="K21" s="87"/>
      <c r="L21" s="87"/>
      <c r="M21" s="87"/>
      <c r="N21" s="87"/>
      <c r="O21" s="108"/>
      <c r="P21" s="108"/>
      <c r="Q21" s="109"/>
      <c r="Y21" s="106"/>
      <c r="Z21" s="106"/>
      <c r="AA21" s="83"/>
      <c r="AB21" s="104"/>
      <c r="AC21" s="104"/>
      <c r="AD21" s="104"/>
      <c r="AE21" s="104"/>
      <c r="AF21" s="104"/>
      <c r="AG21" s="104"/>
      <c r="AH21" s="91"/>
      <c r="AI21" s="83"/>
      <c r="AJ21" s="83"/>
    </row>
    <row r="22" spans="1:36" ht="93" hidden="1" customHeight="1" x14ac:dyDescent="0.2">
      <c r="A22" s="84" t="str">
        <f>'2 CONTEXTO E IDENTIFICACIÓN'!A22</f>
        <v>R14</v>
      </c>
      <c r="B22" s="85" t="str">
        <f>+'2 CONTEXTO E IDENTIFICACIÓN'!J22</f>
        <v xml:space="preserve"> por a causa de </v>
      </c>
      <c r="C22" s="86" t="str">
        <f>+'3 PROBABIL E IMPACTO INHERENTE'!F22</f>
        <v/>
      </c>
      <c r="D22" s="86" t="str">
        <f>+'3 PROBABIL E IMPACTO INHERENTE'!N22</f>
        <v/>
      </c>
      <c r="E22" s="85" t="str">
        <f t="shared" si="0"/>
        <v/>
      </c>
      <c r="F22" s="87"/>
      <c r="G22" s="87"/>
      <c r="H22" s="87"/>
      <c r="I22" s="87"/>
      <c r="J22" s="87"/>
      <c r="K22" s="87"/>
      <c r="L22" s="87"/>
      <c r="M22" s="87"/>
      <c r="N22" s="87"/>
      <c r="O22" s="108"/>
      <c r="P22" s="108"/>
      <c r="AA22" s="83"/>
      <c r="AB22" s="110"/>
      <c r="AC22" s="110"/>
      <c r="AD22" s="110"/>
      <c r="AE22" s="110"/>
      <c r="AF22" s="110"/>
      <c r="AG22" s="110"/>
      <c r="AH22" s="91"/>
      <c r="AI22" s="83"/>
      <c r="AJ22" s="83"/>
    </row>
    <row r="23" spans="1:36" ht="93" hidden="1" customHeight="1" x14ac:dyDescent="0.2">
      <c r="A23" s="84" t="str">
        <f>'2 CONTEXTO E IDENTIFICACIÓN'!A23</f>
        <v>R15</v>
      </c>
      <c r="B23" s="85" t="str">
        <f>+'2 CONTEXTO E IDENTIFICACIÓN'!J23</f>
        <v xml:space="preserve"> por a causa de </v>
      </c>
      <c r="C23" s="86" t="str">
        <f>+'3 PROBABIL E IMPACTO INHERENTE'!F23</f>
        <v/>
      </c>
      <c r="D23" s="86" t="str">
        <f>+'3 PROBABIL E IMPACTO INHERENTE'!N23</f>
        <v/>
      </c>
      <c r="E23" s="85" t="str">
        <f t="shared" si="0"/>
        <v/>
      </c>
      <c r="F23" s="87"/>
      <c r="G23" s="87"/>
      <c r="H23" s="87"/>
      <c r="I23" s="87"/>
      <c r="J23" s="87"/>
      <c r="K23" s="87"/>
      <c r="L23" s="87"/>
      <c r="M23" s="87"/>
      <c r="N23" s="87"/>
      <c r="O23" s="108"/>
      <c r="P23" s="108"/>
      <c r="AA23" s="83"/>
      <c r="AB23" s="104"/>
      <c r="AC23" s="104"/>
      <c r="AD23" s="104"/>
      <c r="AE23" s="104"/>
      <c r="AF23" s="104"/>
      <c r="AG23" s="104"/>
      <c r="AH23" s="91"/>
      <c r="AI23" s="83"/>
      <c r="AJ23" s="83"/>
    </row>
    <row r="24" spans="1:36" ht="93" hidden="1" customHeight="1" x14ac:dyDescent="0.2">
      <c r="A24" s="84" t="str">
        <f>'2 CONTEXTO E IDENTIFICACIÓN'!A24</f>
        <v>R16</v>
      </c>
      <c r="B24" s="85" t="str">
        <f>+'2 CONTEXTO E IDENTIFICACIÓN'!J24</f>
        <v xml:space="preserve"> por a causa de </v>
      </c>
      <c r="C24" s="86" t="str">
        <f>+'3 PROBABIL E IMPACTO INHERENTE'!F24</f>
        <v/>
      </c>
      <c r="D24" s="86" t="str">
        <f>+'3 PROBABIL E IMPACTO INHERENTE'!N24</f>
        <v/>
      </c>
      <c r="E24" s="85" t="str">
        <f t="shared" si="0"/>
        <v/>
      </c>
      <c r="F24" s="87"/>
      <c r="G24" s="87"/>
      <c r="H24" s="87"/>
      <c r="I24" s="87"/>
      <c r="J24" s="87"/>
      <c r="K24" s="87"/>
      <c r="L24" s="87"/>
      <c r="M24" s="87"/>
      <c r="N24" s="87"/>
      <c r="AA24" s="83"/>
      <c r="AB24" s="104"/>
      <c r="AC24" s="104"/>
      <c r="AD24" s="104"/>
      <c r="AE24" s="104"/>
      <c r="AF24" s="104"/>
      <c r="AG24" s="104"/>
      <c r="AH24" s="91"/>
      <c r="AI24" s="83"/>
      <c r="AJ24" s="83"/>
    </row>
    <row r="25" spans="1:36" ht="93" hidden="1" customHeight="1" x14ac:dyDescent="0.25">
      <c r="A25" s="84" t="str">
        <f>'2 CONTEXTO E IDENTIFICACIÓN'!A25</f>
        <v>R17</v>
      </c>
      <c r="B25" s="85" t="str">
        <f>+'2 CONTEXTO E IDENTIFICACIÓN'!J25</f>
        <v xml:space="preserve"> por a causa de </v>
      </c>
      <c r="C25" s="86" t="str">
        <f>+'3 PROBABIL E IMPACTO INHERENTE'!F25</f>
        <v/>
      </c>
      <c r="D25" s="86" t="str">
        <f>+'3 PROBABIL E IMPACTO INHERENTE'!N25</f>
        <v/>
      </c>
      <c r="E25" s="85" t="str">
        <f t="shared" si="0"/>
        <v/>
      </c>
      <c r="F25" s="87"/>
      <c r="G25" s="87"/>
      <c r="H25" s="87"/>
      <c r="I25" s="87"/>
      <c r="J25" s="87"/>
      <c r="K25" s="87"/>
      <c r="L25" s="87"/>
      <c r="M25" s="87"/>
      <c r="N25" s="87"/>
    </row>
    <row r="26" spans="1:36" ht="93" hidden="1" customHeight="1" x14ac:dyDescent="0.25">
      <c r="A26" s="84">
        <f>'2 CONTEXTO E IDENTIFICACIÓN'!A26</f>
        <v>0</v>
      </c>
      <c r="B26" s="85">
        <f>+'2 CONTEXTO E IDENTIFICACIÓN'!J26</f>
        <v>0</v>
      </c>
      <c r="C26" s="86" t="str">
        <f>+'3 PROBABIL E IMPACTO INHERENTE'!F26</f>
        <v/>
      </c>
      <c r="D26" s="86" t="str">
        <f>+'3 PROBABIL E IMPACTO INHERENTE'!N26</f>
        <v/>
      </c>
      <c r="E26" s="85" t="str">
        <f t="shared" si="0"/>
        <v/>
      </c>
      <c r="F26" s="87"/>
      <c r="G26" s="87"/>
      <c r="H26" s="87"/>
      <c r="I26" s="87"/>
      <c r="J26" s="87"/>
      <c r="K26" s="87"/>
      <c r="L26" s="87"/>
      <c r="M26" s="87"/>
      <c r="N26" s="87"/>
    </row>
    <row r="27" spans="1:36" ht="93" hidden="1" customHeight="1" x14ac:dyDescent="0.25">
      <c r="A27" s="84">
        <f>'2 CONTEXTO E IDENTIFICACIÓN'!A27</f>
        <v>0</v>
      </c>
      <c r="B27" s="85">
        <f>+'2 CONTEXTO E IDENTIFICACIÓN'!J27</f>
        <v>0</v>
      </c>
      <c r="C27" s="86" t="str">
        <f>+'3 PROBABIL E IMPACTO INHERENTE'!F27</f>
        <v/>
      </c>
      <c r="D27" s="86" t="str">
        <f>+'3 PROBABIL E IMPACTO INHERENTE'!N27</f>
        <v/>
      </c>
      <c r="E27" s="85" t="str">
        <f t="shared" si="0"/>
        <v/>
      </c>
      <c r="F27" s="87"/>
      <c r="G27" s="87"/>
      <c r="H27" s="87"/>
      <c r="I27" s="87"/>
      <c r="J27" s="87"/>
      <c r="K27" s="87"/>
      <c r="L27" s="87"/>
      <c r="M27" s="87"/>
      <c r="N27" s="87"/>
    </row>
    <row r="28" spans="1:36" ht="93" hidden="1" customHeight="1" x14ac:dyDescent="0.25">
      <c r="A28" s="84">
        <f>'2 CONTEXTO E IDENTIFICACIÓN'!A28</f>
        <v>0</v>
      </c>
      <c r="B28" s="85">
        <f>+'2 CONTEXTO E IDENTIFICACIÓN'!J28</f>
        <v>0</v>
      </c>
      <c r="C28" s="86" t="str">
        <f>+'3 PROBABIL E IMPACTO INHERENTE'!F28</f>
        <v/>
      </c>
      <c r="D28" s="86" t="str">
        <f>+'3 PROBABIL E IMPACTO INHERENTE'!N28</f>
        <v/>
      </c>
      <c r="E28" s="85" t="str">
        <f t="shared" si="0"/>
        <v/>
      </c>
      <c r="F28" s="87"/>
      <c r="G28" s="87"/>
      <c r="H28" s="87"/>
      <c r="I28" s="87"/>
      <c r="J28" s="87"/>
      <c r="K28" s="87"/>
      <c r="L28" s="87"/>
      <c r="M28" s="87"/>
      <c r="N28" s="87"/>
    </row>
    <row r="29" spans="1:36" ht="14.45" customHeight="1" x14ac:dyDescent="0.25">
      <c r="B29" s="67"/>
      <c r="D29" s="67"/>
      <c r="E29" s="67"/>
      <c r="F29" s="67"/>
      <c r="G29" s="67"/>
      <c r="H29" s="67"/>
      <c r="I29" s="67"/>
      <c r="J29" s="67"/>
      <c r="K29" s="67"/>
      <c r="L29" s="67"/>
      <c r="M29" s="67"/>
      <c r="N29" s="67"/>
      <c r="Y29" s="72"/>
      <c r="Z29" s="72"/>
      <c r="AA29" s="72"/>
      <c r="AB29" s="72"/>
      <c r="AC29" s="72"/>
      <c r="AD29" s="67"/>
      <c r="AE29" s="67"/>
      <c r="AF29" s="67"/>
      <c r="AG29" s="67"/>
      <c r="AH29" s="67"/>
    </row>
    <row r="30" spans="1:36" ht="39" customHeight="1" x14ac:dyDescent="0.25">
      <c r="B30" s="67"/>
      <c r="D30" s="67"/>
      <c r="E30" s="67"/>
      <c r="F30" s="67"/>
      <c r="G30" s="67"/>
      <c r="H30" s="67"/>
      <c r="I30" s="67"/>
      <c r="J30" s="67"/>
      <c r="K30" s="67"/>
      <c r="L30" s="67"/>
      <c r="M30" s="67"/>
      <c r="N30" s="67"/>
      <c r="Y30" s="72"/>
      <c r="Z30" s="72"/>
      <c r="AA30" s="72"/>
      <c r="AB30" s="72"/>
      <c r="AC30" s="72"/>
      <c r="AD30" s="67"/>
      <c r="AE30" s="67"/>
      <c r="AF30" s="67"/>
      <c r="AG30" s="67"/>
      <c r="AH30" s="67"/>
    </row>
    <row r="31" spans="1:36" ht="19.5" customHeight="1" x14ac:dyDescent="0.25">
      <c r="B31" s="67"/>
      <c r="D31" s="67"/>
      <c r="E31" s="67"/>
      <c r="F31" s="67"/>
      <c r="G31" s="67"/>
      <c r="H31" s="67"/>
      <c r="I31" s="67"/>
      <c r="J31" s="67"/>
      <c r="K31" s="67"/>
      <c r="L31" s="67"/>
      <c r="M31" s="67"/>
      <c r="N31" s="67"/>
      <c r="Y31" s="72"/>
      <c r="Z31" s="72"/>
      <c r="AA31" s="72"/>
      <c r="AB31" s="72"/>
      <c r="AC31" s="72"/>
      <c r="AD31" s="67"/>
      <c r="AE31" s="67"/>
      <c r="AF31" s="67"/>
      <c r="AG31" s="67"/>
      <c r="AH31" s="67"/>
    </row>
    <row r="32" spans="1:36" ht="19.5" customHeight="1" x14ac:dyDescent="0.25">
      <c r="B32" s="67"/>
      <c r="D32" s="67"/>
      <c r="E32" s="67"/>
      <c r="F32" s="67"/>
      <c r="G32" s="67"/>
      <c r="H32" s="67"/>
      <c r="I32" s="67"/>
      <c r="J32" s="67"/>
      <c r="K32" s="67"/>
      <c r="L32" s="67"/>
      <c r="M32" s="67"/>
      <c r="N32" s="67"/>
      <c r="Y32" s="72"/>
      <c r="Z32" s="72"/>
      <c r="AA32" s="72"/>
      <c r="AB32" s="72"/>
      <c r="AC32" s="72"/>
      <c r="AD32" s="67"/>
      <c r="AE32" s="67"/>
      <c r="AF32" s="67"/>
      <c r="AG32" s="67"/>
      <c r="AH32" s="67"/>
    </row>
    <row r="33" spans="25:29" s="67" customFormat="1" ht="19.5" customHeight="1" x14ac:dyDescent="0.25">
      <c r="Y33" s="72"/>
      <c r="Z33" s="72"/>
      <c r="AA33" s="72"/>
      <c r="AB33" s="72"/>
      <c r="AC33" s="72"/>
    </row>
    <row r="34" spans="25:29" s="67" customFormat="1" ht="19.5" customHeight="1" x14ac:dyDescent="0.25">
      <c r="Y34" s="72"/>
      <c r="Z34" s="72"/>
      <c r="AA34" s="72"/>
      <c r="AB34" s="72"/>
      <c r="AC34" s="72"/>
    </row>
    <row r="35" spans="25:29" s="67" customFormat="1" ht="19.5" customHeight="1" x14ac:dyDescent="0.25">
      <c r="Y35" s="72"/>
      <c r="Z35" s="72"/>
      <c r="AA35" s="72"/>
      <c r="AB35" s="72"/>
      <c r="AC35" s="72"/>
    </row>
  </sheetData>
  <sheetProtection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69" priority="6" operator="equal">
      <formula>$Q$13</formula>
    </cfRule>
    <cfRule type="cellIs" dxfId="68" priority="7" operator="equal">
      <formula>$Q$12</formula>
    </cfRule>
    <cfRule type="cellIs" dxfId="67" priority="8" operator="equal">
      <formula>$Q$11</formula>
    </cfRule>
    <cfRule type="cellIs" dxfId="66" priority="9" operator="equal">
      <formula>$Q$10</formula>
    </cfRule>
    <cfRule type="cellIs" dxfId="65" priority="10" operator="equal">
      <formula>$Q$9</formula>
    </cfRule>
  </conditionalFormatting>
  <conditionalFormatting sqref="D9:D28">
    <cfRule type="cellIs" dxfId="64" priority="1" operator="equal">
      <formula>$R$8</formula>
    </cfRule>
    <cfRule type="cellIs" dxfId="63" priority="2" operator="equal">
      <formula>$S$8</formula>
    </cfRule>
    <cfRule type="cellIs" dxfId="62" priority="3" operator="equal">
      <formula>$T$8</formula>
    </cfRule>
    <cfRule type="cellIs" dxfId="61" priority="4" operator="equal">
      <formula>$U$8</formula>
    </cfRule>
    <cfRule type="cellIs" dxfId="60" priority="5" operator="equal">
      <formula>$V$8</formula>
    </cfRule>
  </conditionalFormatting>
  <conditionalFormatting sqref="E9:E28">
    <cfRule type="cellIs" dxfId="59" priority="102" operator="equal">
      <formula>$R$16</formula>
    </cfRule>
    <cfRule type="cellIs" dxfId="58" priority="103" operator="equal">
      <formula>$R$17</formula>
    </cfRule>
    <cfRule type="cellIs" dxfId="57" priority="104" operator="equal">
      <formula>$R$18</formula>
    </cfRule>
    <cfRule type="cellIs" dxfId="56"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tabColor theme="9" tint="0.79998168889431442"/>
  </sheetPr>
  <dimension ref="A1:AA127"/>
  <sheetViews>
    <sheetView showGridLines="0" view="pageBreakPreview" zoomScale="55" zoomScaleNormal="10" zoomScaleSheetLayoutView="55" workbookViewId="0">
      <pane xSplit="1" ySplit="7" topLeftCell="B33" activePane="bottomRight" state="frozen"/>
      <selection pane="topRight" activeCell="B1" sqref="B1"/>
      <selection pane="bottomLeft" activeCell="A7" sqref="A7"/>
      <selection pane="bottomRight" activeCell="F44" sqref="F44"/>
    </sheetView>
  </sheetViews>
  <sheetFormatPr baseColWidth="10" defaultColWidth="11.42578125" defaultRowHeight="14.25" x14ac:dyDescent="0.25"/>
  <cols>
    <col min="1" max="1" width="14.85546875" style="43" customWidth="1"/>
    <col min="2" max="2" width="29.42578125" style="43" bestFit="1" customWidth="1"/>
    <col min="3" max="3" width="15.42578125" style="43" customWidth="1"/>
    <col min="4" max="4" width="11.42578125" style="43" customWidth="1"/>
    <col min="5" max="5" width="10.140625" style="43" customWidth="1"/>
    <col min="6" max="6" width="17.42578125" style="43" customWidth="1"/>
    <col min="7" max="8" width="21.85546875" style="43" customWidth="1"/>
    <col min="9" max="9" width="34.42578125" style="43" customWidth="1"/>
    <col min="10" max="10" width="15.42578125" style="43" customWidth="1"/>
    <col min="11" max="11" width="12.140625" style="50" customWidth="1"/>
    <col min="12" max="12" width="14.140625" style="50" customWidth="1"/>
    <col min="13" max="13" width="19.42578125" style="43" bestFit="1" customWidth="1"/>
    <col min="14" max="14" width="12.140625" style="50" customWidth="1"/>
    <col min="15" max="15" width="18.85546875" style="50" customWidth="1"/>
    <col min="16" max="16" width="16.42578125" style="50" bestFit="1" customWidth="1"/>
    <col min="17" max="17" width="14.42578125" style="50" customWidth="1"/>
    <col min="18" max="18" width="13" style="50" customWidth="1"/>
    <col min="19" max="19" width="13.42578125" style="297" customWidth="1"/>
    <col min="20" max="20" width="19.42578125" style="297" customWidth="1"/>
    <col min="21" max="21" width="12.42578125" style="297" customWidth="1"/>
    <col min="22" max="22" width="16.42578125" style="144" customWidth="1"/>
    <col min="23" max="23" width="14.42578125" style="144" customWidth="1"/>
    <col min="24" max="24" width="11.42578125" style="43"/>
    <col min="25" max="25" width="21.42578125" style="4" customWidth="1"/>
    <col min="26" max="26" width="7.42578125" style="4" bestFit="1" customWidth="1"/>
    <col min="27" max="27" width="8.42578125" style="4" bestFit="1" customWidth="1"/>
    <col min="28" max="16384" width="11.42578125" style="43"/>
  </cols>
  <sheetData>
    <row r="1" spans="1:27" s="39" customFormat="1" ht="45" customHeight="1" x14ac:dyDescent="0.2">
      <c r="A1" s="460"/>
      <c r="B1" s="500" t="str">
        <f>+'2 CONTEXTO E IDENTIFICACIÓN'!A1</f>
        <v>MAPA DE RIESGOS</v>
      </c>
      <c r="C1" s="472"/>
      <c r="D1" s="473"/>
      <c r="E1" s="294"/>
      <c r="F1" s="3"/>
      <c r="G1" s="216" t="str">
        <f>+'2 CONTEXTO E IDENTIFICACIÓN'!$I$4</f>
        <v>Elaboración o Actualización:</v>
      </c>
      <c r="H1" s="230" t="str">
        <f>'2 CONTEXTO E IDENTIFICACIÓN'!J4</f>
        <v>9 de diciembre de 2025</v>
      </c>
      <c r="I1" s="13"/>
      <c r="J1" s="13"/>
      <c r="K1" s="13"/>
      <c r="L1" s="42"/>
      <c r="M1" s="41"/>
      <c r="N1" s="42"/>
      <c r="O1" s="42"/>
      <c r="P1" s="42"/>
      <c r="Q1" s="42"/>
      <c r="R1" s="42"/>
      <c r="S1" s="291"/>
      <c r="T1" s="42"/>
      <c r="U1" s="42"/>
      <c r="V1" s="144"/>
      <c r="W1" s="144"/>
      <c r="X1" s="37"/>
      <c r="Y1" s="4"/>
      <c r="Z1" s="4"/>
      <c r="AA1" s="4"/>
    </row>
    <row r="2" spans="1:27" s="39" customFormat="1" ht="45" customHeight="1" x14ac:dyDescent="0.2">
      <c r="A2" s="460"/>
      <c r="B2" s="501"/>
      <c r="C2" s="38" t="str">
        <f>+'2 CONTEXTO E IDENTIFICACIÓN'!A2</f>
        <v>VERSIÓN:</v>
      </c>
      <c r="D2" s="38">
        <f>'2 CONTEXTO E IDENTIFICACIÓN'!B2</f>
        <v>1</v>
      </c>
      <c r="E2" s="294"/>
      <c r="F2" s="294"/>
      <c r="G2" s="219" t="str">
        <f>+'2 CONTEXTO E IDENTIFICACIÓN'!$E$5</f>
        <v>Vigencia:  2026</v>
      </c>
      <c r="H2" s="217" t="str">
        <f>'2 CONTEXTO E IDENTIFICACIÓN'!G5</f>
        <v>1 de enero de 2026</v>
      </c>
      <c r="I2" s="218" t="s">
        <v>99</v>
      </c>
      <c r="J2" s="215" t="str">
        <f>'2 CONTEXTO E IDENTIFICACIÓN'!J5</f>
        <v>31 de diciembre de 2026</v>
      </c>
      <c r="K2" s="294"/>
      <c r="L2" s="45"/>
      <c r="M2" s="44"/>
      <c r="N2" s="45"/>
      <c r="O2" s="45"/>
      <c r="P2" s="45"/>
      <c r="Q2" s="45"/>
      <c r="R2" s="45"/>
      <c r="S2" s="291"/>
      <c r="T2" s="42"/>
      <c r="U2" s="294"/>
      <c r="V2" s="144"/>
      <c r="W2" s="290"/>
      <c r="X2" s="37"/>
      <c r="Y2" s="3"/>
      <c r="Z2" s="3"/>
      <c r="AA2" s="3"/>
    </row>
    <row r="3" spans="1:27" s="39" customFormat="1" ht="15.75" thickBot="1" x14ac:dyDescent="0.25">
      <c r="A3" s="12" t="s">
        <v>95</v>
      </c>
      <c r="B3" s="462" t="str">
        <f>'2 CONTEXTO E IDENTIFICACIÓN'!B4</f>
        <v>SUPERSOLIDARIA</v>
      </c>
      <c r="C3" s="462"/>
      <c r="D3" s="462"/>
      <c r="E3" s="347"/>
      <c r="F3" s="294"/>
      <c r="G3" s="347"/>
      <c r="H3" s="347"/>
      <c r="I3" s="347"/>
      <c r="J3" s="347"/>
      <c r="K3" s="348"/>
      <c r="L3" s="348"/>
      <c r="M3" s="347"/>
      <c r="N3" s="348"/>
      <c r="O3" s="348"/>
      <c r="P3" s="348"/>
      <c r="Q3" s="348"/>
      <c r="R3" s="348"/>
      <c r="S3" s="295"/>
      <c r="T3" s="295"/>
      <c r="U3" s="295"/>
      <c r="V3" s="144"/>
      <c r="W3" s="144"/>
      <c r="X3" s="37"/>
      <c r="Y3" s="3"/>
      <c r="Z3" s="3"/>
      <c r="AA3" s="3"/>
    </row>
    <row r="4" spans="1:27" s="47" customFormat="1" ht="16.5" customHeight="1" x14ac:dyDescent="0.25">
      <c r="A4" s="12" t="s">
        <v>96</v>
      </c>
      <c r="B4" s="462" t="str">
        <f>'2 CONTEXTO E IDENTIFICACIÓN'!F4</f>
        <v>GEGI</v>
      </c>
      <c r="C4" s="463"/>
      <c r="D4" s="463"/>
      <c r="E4" s="46" t="s">
        <v>309</v>
      </c>
      <c r="F4" s="44" t="s">
        <v>310</v>
      </c>
      <c r="G4" s="46"/>
      <c r="H4" s="46"/>
      <c r="I4" s="46"/>
      <c r="J4" s="349"/>
      <c r="K4" s="349"/>
      <c r="L4" s="349"/>
      <c r="M4" s="349"/>
      <c r="N4" s="349"/>
      <c r="O4" s="349"/>
      <c r="P4" s="349"/>
      <c r="Q4" s="349"/>
      <c r="R4" s="349"/>
      <c r="S4" s="497" t="s">
        <v>311</v>
      </c>
      <c r="T4" s="497" t="s">
        <v>312</v>
      </c>
      <c r="U4" s="497" t="s">
        <v>65</v>
      </c>
      <c r="V4" s="144"/>
      <c r="W4" s="144"/>
      <c r="X4" s="37"/>
      <c r="Y4" s="453" t="s">
        <v>313</v>
      </c>
      <c r="Z4" s="454"/>
      <c r="AA4" s="455"/>
    </row>
    <row r="5" spans="1:27" s="47" customFormat="1" ht="16.5" customHeight="1" x14ac:dyDescent="0.25">
      <c r="A5" s="223"/>
      <c r="B5" s="222"/>
      <c r="C5" s="222"/>
      <c r="D5" s="144"/>
      <c r="E5" s="46"/>
      <c r="F5" s="46"/>
      <c r="G5" s="46"/>
      <c r="H5" s="46"/>
      <c r="I5" s="46"/>
      <c r="J5" s="512" t="s">
        <v>314</v>
      </c>
      <c r="K5" s="513"/>
      <c r="L5" s="513"/>
      <c r="M5" s="513"/>
      <c r="N5" s="513"/>
      <c r="O5" s="513"/>
      <c r="P5" s="513"/>
      <c r="Q5" s="513"/>
      <c r="R5" s="514"/>
      <c r="S5" s="498"/>
      <c r="T5" s="498"/>
      <c r="U5" s="498"/>
      <c r="V5" s="144"/>
      <c r="W5" s="144"/>
      <c r="X5" s="37"/>
      <c r="Y5" s="21" t="s">
        <v>268</v>
      </c>
      <c r="Z5" s="22" t="s">
        <v>315</v>
      </c>
      <c r="AA5" s="23" t="s">
        <v>316</v>
      </c>
    </row>
    <row r="6" spans="1:27" ht="29.25" customHeight="1" x14ac:dyDescent="0.25">
      <c r="A6" s="489" t="s">
        <v>262</v>
      </c>
      <c r="B6" s="489" t="s">
        <v>263</v>
      </c>
      <c r="C6" s="489" t="s">
        <v>317</v>
      </c>
      <c r="D6" s="489" t="s">
        <v>318</v>
      </c>
      <c r="E6" s="502" t="s">
        <v>319</v>
      </c>
      <c r="F6" s="507" t="s">
        <v>47</v>
      </c>
      <c r="G6" s="508"/>
      <c r="H6" s="502"/>
      <c r="I6" s="183"/>
      <c r="J6" s="504" t="s">
        <v>126</v>
      </c>
      <c r="K6" s="505"/>
      <c r="L6" s="505"/>
      <c r="M6" s="505"/>
      <c r="N6" s="506"/>
      <c r="O6" s="509" t="s">
        <v>320</v>
      </c>
      <c r="P6" s="510"/>
      <c r="Q6" s="510"/>
      <c r="R6" s="511"/>
      <c r="S6" s="499"/>
      <c r="T6" s="499"/>
      <c r="U6" s="499"/>
      <c r="X6" s="37"/>
      <c r="Y6" s="303" t="s">
        <v>277</v>
      </c>
      <c r="Z6" s="28">
        <v>0.01</v>
      </c>
      <c r="AA6" s="27">
        <v>0.2</v>
      </c>
    </row>
    <row r="7" spans="1:27" s="37" customFormat="1" ht="72" thickBot="1" x14ac:dyDescent="0.3">
      <c r="A7" s="490"/>
      <c r="B7" s="490"/>
      <c r="C7" s="490"/>
      <c r="D7" s="490"/>
      <c r="E7" s="503"/>
      <c r="F7" s="48" t="s">
        <v>321</v>
      </c>
      <c r="G7" s="143" t="s">
        <v>322</v>
      </c>
      <c r="H7" s="143" t="s">
        <v>323</v>
      </c>
      <c r="I7" s="143" t="s">
        <v>324</v>
      </c>
      <c r="J7" s="48" t="s">
        <v>49</v>
      </c>
      <c r="K7" s="49" t="s">
        <v>51</v>
      </c>
      <c r="L7" s="49" t="s">
        <v>53</v>
      </c>
      <c r="M7" s="48" t="s">
        <v>54</v>
      </c>
      <c r="N7" s="49" t="s">
        <v>56</v>
      </c>
      <c r="O7" s="49" t="s">
        <v>130</v>
      </c>
      <c r="P7" s="49" t="s">
        <v>131</v>
      </c>
      <c r="Q7" s="49" t="s">
        <v>325</v>
      </c>
      <c r="R7" s="49" t="s">
        <v>326</v>
      </c>
      <c r="S7" s="49" t="s">
        <v>60</v>
      </c>
      <c r="T7" s="49" t="s">
        <v>62</v>
      </c>
      <c r="U7" s="284" t="s">
        <v>64</v>
      </c>
      <c r="V7" s="49" t="s">
        <v>327</v>
      </c>
      <c r="W7" s="49" t="s">
        <v>328</v>
      </c>
      <c r="Y7" s="304" t="s">
        <v>281</v>
      </c>
      <c r="Z7" s="28">
        <v>0.21</v>
      </c>
      <c r="AA7" s="27">
        <v>0.4</v>
      </c>
    </row>
    <row r="8" spans="1:27" ht="126.75" customHeight="1" thickBot="1" x14ac:dyDescent="0.3">
      <c r="A8" s="517" t="str">
        <f>'2 CONTEXTO E IDENTIFICACIÓN'!A9</f>
        <v>GEGI-1</v>
      </c>
      <c r="B8" s="521" t="str">
        <f>+'2 CONTEXTO E IDENTIFICACIÓN'!J9</f>
        <v>Posibilidad de afectación reputacional porpor insatisfacción de los grupos de valor a causa de una orientación inadecuada en la prestación del servicio</v>
      </c>
      <c r="C8" s="491">
        <f>+'3 PROBABIL E IMPACTO INHERENTE'!E9</f>
        <v>0.6</v>
      </c>
      <c r="D8" s="494">
        <f>+'3 PROBABIL E IMPACTO INHERENTE'!M9</f>
        <v>0.4</v>
      </c>
      <c r="E8" s="350">
        <v>1</v>
      </c>
      <c r="F8" s="363" t="s">
        <v>413</v>
      </c>
      <c r="G8" s="363" t="s">
        <v>414</v>
      </c>
      <c r="H8" s="363" t="s">
        <v>415</v>
      </c>
      <c r="I8" s="283" t="str">
        <f t="shared" ref="I8:I71" si="0">+CONCATENATE(F8," ",G8," ",H8)</f>
        <v>El Profesional Universitario del GIT de Relacionamiento con la Ciudadanía diseña e implementa la estrategia de servicio al ciudadano Esto se realiza de manera mensual
 Evidencia: Reporte mensual del plan de acción de la Estrategia de servicio al Ciudadano</v>
      </c>
      <c r="J8" s="206" t="s">
        <v>140</v>
      </c>
      <c r="K8" s="296">
        <f>+IFERROR(VLOOKUP($J8,'11 FORMULAS'!$B$51:$C$53,2,0),"")</f>
        <v>0.25</v>
      </c>
      <c r="L8" s="296" t="str">
        <f>+IFERROR(VLOOKUP($J8,'11 FORMULAS'!$B$51:$D$53,3,0),"")</f>
        <v>Probabilidad</v>
      </c>
      <c r="M8" s="351" t="s">
        <v>152</v>
      </c>
      <c r="N8" s="352">
        <f>+IFERROR(VLOOKUP($M8,'11 FORMULAS'!$B$54:$C$55,2,0),"")</f>
        <v>0.15</v>
      </c>
      <c r="O8" s="353" t="s">
        <v>142</v>
      </c>
      <c r="P8" s="353" t="s">
        <v>246</v>
      </c>
      <c r="Q8" s="353" t="s">
        <v>155</v>
      </c>
      <c r="R8" s="353" t="s">
        <v>145</v>
      </c>
      <c r="S8" s="296">
        <f>+IFERROR($K8+$N8,"")</f>
        <v>0.4</v>
      </c>
      <c r="T8" s="296">
        <f>IF($L8='11 FORMULAS'!$D$51,$C$8-($C$8*$S$8),$C$8)</f>
        <v>0.36</v>
      </c>
      <c r="U8" s="296">
        <f>IF(L8='11 FORMULAS'!$D$53,$D8-($D8*$S8),$D8)</f>
        <v>0.4</v>
      </c>
      <c r="V8" s="532">
        <f>+IF(T13="","",T13)</f>
        <v>0.6</v>
      </c>
      <c r="W8" s="535">
        <f>+IF(U13="","",U13)</f>
        <v>0.4</v>
      </c>
      <c r="X8" s="37"/>
      <c r="Y8" s="305" t="s">
        <v>285</v>
      </c>
      <c r="Z8" s="28">
        <v>0.41</v>
      </c>
      <c r="AA8" s="27">
        <v>0.6</v>
      </c>
    </row>
    <row r="9" spans="1:27" ht="165" customHeight="1" thickBot="1" x14ac:dyDescent="0.3">
      <c r="A9" s="519"/>
      <c r="B9" s="523"/>
      <c r="C9" s="492"/>
      <c r="D9" s="495"/>
      <c r="E9" s="350">
        <v>2</v>
      </c>
      <c r="F9" s="363" t="s">
        <v>380</v>
      </c>
      <c r="G9" s="363" t="s">
        <v>416</v>
      </c>
      <c r="H9" s="363" t="s">
        <v>417</v>
      </c>
      <c r="I9" s="283" t="str">
        <f>+CONCATENATE(F9," ",G9," ",H9)</f>
        <v>El Coordinadora del GIT de Relacionamiento con la Ciudadanía socializa trimestralmente la política de relacionamiento con el ciudadano - MIPG a través de jornadas de capacitación en torno a los lineamientos internos de la entidad y la normatividad vigente. Esto se realiza de manera trimestral
 Evidencia: Listados de asistencia, diapositivas y acta de reunión frente a la socialización establecida.</v>
      </c>
      <c r="J9" s="206" t="s">
        <v>140</v>
      </c>
      <c r="K9" s="296">
        <f>+IFERROR(VLOOKUP($J9,'11 FORMULAS'!$B$51:$C$53,2,0),"")</f>
        <v>0.25</v>
      </c>
      <c r="L9" s="296" t="str">
        <f>+IFERROR(VLOOKUP($J9,'11 FORMULAS'!$B$51:$D$53,3,0),"")</f>
        <v>Probabilidad</v>
      </c>
      <c r="M9" s="351" t="s">
        <v>152</v>
      </c>
      <c r="N9" s="352">
        <f>+IFERROR(VLOOKUP($M9,'11 FORMULAS'!$B$54:$C$55,2,0),"")</f>
        <v>0.15</v>
      </c>
      <c r="O9" s="353" t="s">
        <v>142</v>
      </c>
      <c r="P9" s="353" t="s">
        <v>248</v>
      </c>
      <c r="Q9" s="353" t="s">
        <v>155</v>
      </c>
      <c r="R9" s="353" t="s">
        <v>145</v>
      </c>
      <c r="S9" s="296">
        <f t="shared" ref="S9:S72" si="1">+IFERROR($K9+$N9,"")</f>
        <v>0.4</v>
      </c>
      <c r="T9" s="296">
        <f>IF($L9='11 FORMULAS'!$D$51,$C$8-($C$8*$S$8),$C$8)</f>
        <v>0.36</v>
      </c>
      <c r="U9" s="296">
        <f>IF(L9='11 FORMULAS'!$D$53,$D$8-($D$8*$S$8),$D$8)</f>
        <v>0.4</v>
      </c>
      <c r="V9" s="533"/>
      <c r="W9" s="536"/>
      <c r="X9" s="37"/>
      <c r="Y9" s="32" t="s">
        <v>290</v>
      </c>
      <c r="Z9" s="28">
        <v>0.61</v>
      </c>
      <c r="AA9" s="27">
        <v>0.8</v>
      </c>
    </row>
    <row r="10" spans="1:27" ht="29.45" hidden="1" customHeight="1" thickBot="1" x14ac:dyDescent="0.3">
      <c r="A10" s="519"/>
      <c r="B10" s="523"/>
      <c r="C10" s="492"/>
      <c r="D10" s="495"/>
      <c r="E10" s="350">
        <v>3</v>
      </c>
      <c r="F10" s="325"/>
      <c r="G10" s="206"/>
      <c r="H10" s="206"/>
      <c r="I10" s="283" t="str">
        <f t="shared" si="0"/>
        <v xml:space="preserve">  </v>
      </c>
      <c r="J10" s="206"/>
      <c r="K10" s="296" t="str">
        <f>+IFERROR(VLOOKUP($J10,'11 FORMULAS'!$B$51:$C$53,2,0),"")</f>
        <v/>
      </c>
      <c r="L10" s="296" t="str">
        <f>+IFERROR(VLOOKUP($J10,'11 FORMULAS'!$B$51:$D$53,3,0),"")</f>
        <v/>
      </c>
      <c r="M10" s="351"/>
      <c r="N10" s="352" t="str">
        <f>+IFERROR(VLOOKUP($M10,'11 FORMULAS'!$B$54:$C$55,2,0),"")</f>
        <v/>
      </c>
      <c r="O10" s="353"/>
      <c r="P10" s="353"/>
      <c r="Q10" s="353"/>
      <c r="R10" s="353"/>
      <c r="S10" s="296" t="str">
        <f t="shared" si="1"/>
        <v/>
      </c>
      <c r="T10" s="296">
        <f>IF($L10='11 FORMULAS'!$D$51,$C$8-($C$8*$S$8),$C$8)</f>
        <v>0.6</v>
      </c>
      <c r="U10" s="296">
        <f>IF(L10='11 FORMULAS'!$D$53,$D$8-($D$8*$S$8),$D$8)</f>
        <v>0.4</v>
      </c>
      <c r="V10" s="533"/>
      <c r="W10" s="536"/>
      <c r="X10" s="37"/>
      <c r="Y10" s="306" t="s">
        <v>295</v>
      </c>
      <c r="Z10" s="28">
        <v>0.81</v>
      </c>
      <c r="AA10" s="27">
        <v>1</v>
      </c>
    </row>
    <row r="11" spans="1:27" ht="29.45" hidden="1" customHeight="1" thickBot="1" x14ac:dyDescent="0.3">
      <c r="A11" s="519"/>
      <c r="B11" s="523"/>
      <c r="C11" s="492"/>
      <c r="D11" s="495"/>
      <c r="E11" s="350">
        <v>4</v>
      </c>
      <c r="F11" s="325"/>
      <c r="G11" s="206"/>
      <c r="H11" s="206"/>
      <c r="I11" s="283" t="str">
        <f t="shared" si="0"/>
        <v xml:space="preserve">  </v>
      </c>
      <c r="J11" s="206"/>
      <c r="K11" s="296" t="str">
        <f>+IFERROR(VLOOKUP($J11,'11 FORMULAS'!$B$51:$C$53,2,0),"")</f>
        <v/>
      </c>
      <c r="L11" s="296" t="str">
        <f>+IFERROR(VLOOKUP($J11,'11 FORMULAS'!$B$51:$D$53,3,0),"")</f>
        <v/>
      </c>
      <c r="M11" s="351"/>
      <c r="N11" s="352" t="str">
        <f>+IFERROR(VLOOKUP($M11,'11 FORMULAS'!$B$54:$C$55,2,0),"")</f>
        <v/>
      </c>
      <c r="O11" s="353"/>
      <c r="P11" s="353"/>
      <c r="Q11" s="353"/>
      <c r="R11" s="353"/>
      <c r="S11" s="296" t="str">
        <f t="shared" si="1"/>
        <v/>
      </c>
      <c r="T11" s="296">
        <f>IF($L11='11 FORMULAS'!$D$51,$C$8-($C$8*$S$8),$C$8)</f>
        <v>0.6</v>
      </c>
      <c r="U11" s="296">
        <f>IF(L11='11 FORMULAS'!$D$53,$D$8-($D$8*$S$8),$D$8)</f>
        <v>0.4</v>
      </c>
      <c r="V11" s="533"/>
      <c r="W11" s="536"/>
      <c r="X11" s="37"/>
      <c r="Y11" s="292"/>
      <c r="Z11" s="292"/>
      <c r="AA11" s="292"/>
    </row>
    <row r="12" spans="1:27" ht="29.45" hidden="1" customHeight="1" thickBot="1" x14ac:dyDescent="0.3">
      <c r="A12" s="519"/>
      <c r="B12" s="523"/>
      <c r="C12" s="492"/>
      <c r="D12" s="495"/>
      <c r="E12" s="350">
        <v>5</v>
      </c>
      <c r="F12" s="325"/>
      <c r="G12" s="206"/>
      <c r="H12" s="206"/>
      <c r="I12" s="283" t="str">
        <f t="shared" si="0"/>
        <v xml:space="preserve">  </v>
      </c>
      <c r="J12" s="206"/>
      <c r="K12" s="296" t="str">
        <f>+IFERROR(VLOOKUP($J12,'11 FORMULAS'!$B$51:$C$53,2,0),"")</f>
        <v/>
      </c>
      <c r="L12" s="296" t="str">
        <f>+IFERROR(VLOOKUP($J12,'11 FORMULAS'!$B$51:$D$53,3,0),"")</f>
        <v/>
      </c>
      <c r="M12" s="351"/>
      <c r="N12" s="352" t="str">
        <f>+IFERROR(VLOOKUP($M12,'11 FORMULAS'!$B$54:$C$55,2,0),"")</f>
        <v/>
      </c>
      <c r="O12" s="353"/>
      <c r="P12" s="353"/>
      <c r="Q12" s="353"/>
      <c r="R12" s="353"/>
      <c r="S12" s="296" t="str">
        <f t="shared" si="1"/>
        <v/>
      </c>
      <c r="T12" s="296">
        <f>IF($L12='11 FORMULAS'!$D$51,$C$8-($C$8*$S$8),$C$8)</f>
        <v>0.6</v>
      </c>
      <c r="U12" s="296">
        <f>IF(L12='11 FORMULAS'!$D$53,$D$8-($D$8*$S$8),$D$8)</f>
        <v>0.4</v>
      </c>
      <c r="V12" s="533"/>
      <c r="W12" s="536"/>
      <c r="X12" s="37"/>
      <c r="Y12" s="292"/>
      <c r="Z12" s="292"/>
      <c r="AA12" s="292"/>
    </row>
    <row r="13" spans="1:27" ht="29.45" hidden="1" customHeight="1" thickBot="1" x14ac:dyDescent="0.3">
      <c r="A13" s="520"/>
      <c r="B13" s="524"/>
      <c r="C13" s="493"/>
      <c r="D13" s="496"/>
      <c r="E13" s="354">
        <v>6</v>
      </c>
      <c r="F13" s="328"/>
      <c r="G13" s="207"/>
      <c r="H13" s="207"/>
      <c r="I13" s="283" t="str">
        <f t="shared" si="0"/>
        <v xml:space="preserve">  </v>
      </c>
      <c r="J13" s="206"/>
      <c r="K13" s="296" t="str">
        <f>+IFERROR(VLOOKUP($J13,'11 FORMULAS'!$B$51:$C$53,2,0),"")</f>
        <v/>
      </c>
      <c r="L13" s="296" t="str">
        <f>+IFERROR(VLOOKUP($J13,'11 FORMULAS'!$B$51:$D$53,3,0),"")</f>
        <v/>
      </c>
      <c r="M13" s="351"/>
      <c r="N13" s="352" t="str">
        <f>+IFERROR(VLOOKUP($M13,'11 FORMULAS'!$B$54:$C$55,2,0),"")</f>
        <v/>
      </c>
      <c r="O13" s="353"/>
      <c r="P13" s="353"/>
      <c r="Q13" s="353"/>
      <c r="R13" s="353"/>
      <c r="S13" s="296" t="str">
        <f t="shared" si="1"/>
        <v/>
      </c>
      <c r="T13" s="296">
        <f>IF($L13='11 FORMULAS'!$D$51,$C$8-($C$8*$S$8),$C$8)</f>
        <v>0.6</v>
      </c>
      <c r="U13" s="296">
        <f>IF(L13='11 FORMULAS'!$D$53,$D$8-($D$8*$S$8),$D$8)</f>
        <v>0.4</v>
      </c>
      <c r="V13" s="534"/>
      <c r="W13" s="537"/>
      <c r="X13" s="37"/>
      <c r="Y13" s="292"/>
      <c r="Z13" s="292"/>
      <c r="AA13" s="292"/>
    </row>
    <row r="14" spans="1:27" ht="139.5" customHeight="1" thickBot="1" x14ac:dyDescent="0.3">
      <c r="A14" s="517" t="str">
        <f>'2 CONTEXTO E IDENTIFICACIÓN'!A10</f>
        <v>GEGI-2</v>
      </c>
      <c r="B14" s="525" t="str">
        <f>'2 CONTEXTO E IDENTIFICACIÓN'!J10</f>
        <v>Posibilidad de afectación reputacional porinsatisfacción de los grupos de valor y/o sanciones de entes de control a causa de incumplimiento de los términos de ley para la gestión de solicitudes.</v>
      </c>
      <c r="C14" s="528">
        <f>+'3 PROBABIL E IMPACTO INHERENTE'!E10</f>
        <v>0.6</v>
      </c>
      <c r="D14" s="494">
        <f>+'3 PROBABIL E IMPACTO INHERENTE'!M10</f>
        <v>1</v>
      </c>
      <c r="E14" s="355">
        <v>1</v>
      </c>
      <c r="F14" s="363" t="s">
        <v>418</v>
      </c>
      <c r="G14" s="363" t="s">
        <v>419</v>
      </c>
      <c r="H14" s="363" t="s">
        <v>420</v>
      </c>
      <c r="I14" s="283" t="str">
        <f t="shared" si="0"/>
        <v>El Profesional Universitario del Grupo Interno de Trabajo de Relacionamiento con la Ciudadanía Realiza el seguimiento a la gestión de las PQRSDF, consolida la información correspondiente, elabora el reporte de seguimiento y genera alertas a las dependencias competentes cuando identifica solicitudes próximas al vencimiento de los términos legales o situaciones que requieran atención. Esto se realiza de manera mensual
 Como evidencias quedan: el reporte mensual de seguimiento a las PQRSDF, la matriz de escalonamiento  y las comunicaciones o alertas remitidas a las dependencias competentes.</v>
      </c>
      <c r="J14" s="206" t="s">
        <v>140</v>
      </c>
      <c r="K14" s="296">
        <f>+IFERROR(VLOOKUP($J14,'11 FORMULAS'!$B$51:$C$53,2,0),"")</f>
        <v>0.25</v>
      </c>
      <c r="L14" s="296" t="str">
        <f>+IFERROR(VLOOKUP($J14,'11 FORMULAS'!$B$51:$D$53,3,0),"")</f>
        <v>Probabilidad</v>
      </c>
      <c r="M14" s="351" t="s">
        <v>152</v>
      </c>
      <c r="N14" s="352">
        <f>+IFERROR(VLOOKUP($M14,'11 FORMULAS'!$B$54:$C$55,2,0),"")</f>
        <v>0.15</v>
      </c>
      <c r="O14" s="353" t="s">
        <v>163</v>
      </c>
      <c r="P14" s="353" t="s">
        <v>246</v>
      </c>
      <c r="Q14" s="353" t="s">
        <v>155</v>
      </c>
      <c r="R14" s="353" t="s">
        <v>145</v>
      </c>
      <c r="S14" s="296">
        <f t="shared" si="1"/>
        <v>0.4</v>
      </c>
      <c r="T14" s="296">
        <f>IF($L14='11 FORMULAS'!$D$51,$C$8-($C$8*$S$8),$C$8)</f>
        <v>0.36</v>
      </c>
      <c r="U14" s="296">
        <f>IF(L14='11 FORMULAS'!$D$53,$D$14-($D$14*$S$14),$D$14)</f>
        <v>1</v>
      </c>
      <c r="V14" s="532">
        <f>+IF(T19="","",T19)</f>
        <v>0.6</v>
      </c>
      <c r="W14" s="535">
        <f>+IF(U19="","",U19)</f>
        <v>1</v>
      </c>
      <c r="X14" s="37"/>
      <c r="Y14" s="292"/>
      <c r="Z14" s="293"/>
      <c r="AA14" s="293"/>
    </row>
    <row r="15" spans="1:27" ht="169.5" customHeight="1" thickBot="1" x14ac:dyDescent="0.3">
      <c r="A15" s="519"/>
      <c r="B15" s="526"/>
      <c r="C15" s="529"/>
      <c r="D15" s="495"/>
      <c r="E15" s="350">
        <v>2</v>
      </c>
      <c r="F15" s="363" t="s">
        <v>421</v>
      </c>
      <c r="G15" s="363" t="s">
        <v>379</v>
      </c>
      <c r="H15" s="363" t="s">
        <v>422</v>
      </c>
      <c r="I15" s="283" t="str">
        <f t="shared" si="0"/>
        <v>El Profesional Especializado del GIT de Relacionamiento con la Ciudadanía reporta a las áreas a través de matriz de escalonamiento, las PQRSDF que se notifiquen directamente desde los ciudadanos al GIT de Relacionaimento con la Ciudadanía. Esto se realiza de manera semanal
 Evidencia: Informe consolidado de matríz de escalonamiento mensual.</v>
      </c>
      <c r="J15" s="206" t="s">
        <v>151</v>
      </c>
      <c r="K15" s="296">
        <f>+IFERROR(VLOOKUP($J15,'11 FORMULAS'!$B$51:$C$53,2,0),"")</f>
        <v>0.15</v>
      </c>
      <c r="L15" s="296" t="str">
        <f>+IFERROR(VLOOKUP($J15,'11 FORMULAS'!$B$51:$D$53,3,0),"")</f>
        <v>Probabilidad</v>
      </c>
      <c r="M15" s="351" t="s">
        <v>152</v>
      </c>
      <c r="N15" s="352">
        <f>+IFERROR(VLOOKUP($M15,'11 FORMULAS'!$B$54:$C$55,2,0),"")</f>
        <v>0.15</v>
      </c>
      <c r="O15" s="353" t="s">
        <v>163</v>
      </c>
      <c r="P15" s="353" t="s">
        <v>246</v>
      </c>
      <c r="Q15" s="353" t="s">
        <v>144</v>
      </c>
      <c r="R15" s="353" t="s">
        <v>145</v>
      </c>
      <c r="S15" s="296">
        <f t="shared" si="1"/>
        <v>0.3</v>
      </c>
      <c r="T15" s="296">
        <f>IF($L15='11 FORMULAS'!$D$51,$C$8-($C$8*$S$8),$C$8)</f>
        <v>0.36</v>
      </c>
      <c r="U15" s="296">
        <f>IF(L15='11 FORMULAS'!$D$53,$D$14-($D$14*$S$14),$D$14)</f>
        <v>1</v>
      </c>
      <c r="V15" s="533"/>
      <c r="W15" s="536"/>
      <c r="X15" s="37"/>
      <c r="Y15" s="292"/>
      <c r="Z15" s="293"/>
      <c r="AA15" s="293"/>
    </row>
    <row r="16" spans="1:27" ht="29.45" hidden="1" customHeight="1" thickBot="1" x14ac:dyDescent="0.3">
      <c r="A16" s="519"/>
      <c r="B16" s="526"/>
      <c r="C16" s="529"/>
      <c r="D16" s="495"/>
      <c r="E16" s="350">
        <v>3</v>
      </c>
      <c r="F16" s="325"/>
      <c r="G16" s="206"/>
      <c r="H16" s="206"/>
      <c r="I16" s="283" t="str">
        <f t="shared" si="0"/>
        <v xml:space="preserve">  </v>
      </c>
      <c r="J16" s="206"/>
      <c r="K16" s="296" t="str">
        <f>+IFERROR(VLOOKUP($J16,'11 FORMULAS'!$B$51:$C$53,2,0),"")</f>
        <v/>
      </c>
      <c r="L16" s="296" t="str">
        <f>+IFERROR(VLOOKUP($J16,'11 FORMULAS'!$B$51:$D$53,3,0),"")</f>
        <v/>
      </c>
      <c r="M16" s="351"/>
      <c r="N16" s="352" t="str">
        <f>+IFERROR(VLOOKUP($M16,'11 FORMULAS'!$B$54:$C$55,2,0),"")</f>
        <v/>
      </c>
      <c r="O16" s="353"/>
      <c r="P16" s="353"/>
      <c r="Q16" s="353"/>
      <c r="R16" s="353"/>
      <c r="S16" s="296" t="str">
        <f t="shared" si="1"/>
        <v/>
      </c>
      <c r="T16" s="296">
        <f>IF($L16='11 FORMULAS'!$D$51,$C$8-($C$8*$S$8),$C$8)</f>
        <v>0.6</v>
      </c>
      <c r="U16" s="296">
        <f>IF(L16='11 FORMULAS'!$D$53,$D$14-($D$14*$S$14),$D$14)</f>
        <v>1</v>
      </c>
      <c r="V16" s="533"/>
      <c r="W16" s="536"/>
      <c r="X16" s="37"/>
      <c r="Y16" s="292"/>
      <c r="Z16" s="293"/>
      <c r="AA16" s="293"/>
    </row>
    <row r="17" spans="1:27" ht="29.45" hidden="1" customHeight="1" thickBot="1" x14ac:dyDescent="0.3">
      <c r="A17" s="519"/>
      <c r="B17" s="526"/>
      <c r="C17" s="529"/>
      <c r="D17" s="531"/>
      <c r="E17" s="350">
        <v>4</v>
      </c>
      <c r="F17" s="327"/>
      <c r="G17" s="322"/>
      <c r="H17" s="322"/>
      <c r="I17" s="283" t="str">
        <f t="shared" si="0"/>
        <v xml:space="preserve">  </v>
      </c>
      <c r="J17" s="206"/>
      <c r="K17" s="296" t="str">
        <f>+IFERROR(VLOOKUP($J17,'11 FORMULAS'!$B$51:$C$53,2,0),"")</f>
        <v/>
      </c>
      <c r="L17" s="296" t="str">
        <f>+IFERROR(VLOOKUP($J17,'11 FORMULAS'!$B$51:$D$53,3,0),"")</f>
        <v/>
      </c>
      <c r="M17" s="351"/>
      <c r="N17" s="352" t="str">
        <f>+IFERROR(VLOOKUP($M17,'11 FORMULAS'!$B$54:$C$55,2,0),"")</f>
        <v/>
      </c>
      <c r="O17" s="353"/>
      <c r="P17" s="353"/>
      <c r="Q17" s="353"/>
      <c r="R17" s="353"/>
      <c r="S17" s="296" t="str">
        <f t="shared" si="1"/>
        <v/>
      </c>
      <c r="T17" s="296">
        <f>IF($L17='11 FORMULAS'!$D$51,$C$8-($C$8*$S$8),$C$8)</f>
        <v>0.6</v>
      </c>
      <c r="U17" s="296">
        <f>IF(L17='11 FORMULAS'!$D$53,$D$14-($D$14*$S$14),$D$14)</f>
        <v>1</v>
      </c>
      <c r="V17" s="538"/>
      <c r="W17" s="539"/>
      <c r="X17" s="37"/>
      <c r="Y17" s="292"/>
      <c r="Z17" s="293"/>
      <c r="AA17" s="293"/>
    </row>
    <row r="18" spans="1:27" ht="29.45" hidden="1" customHeight="1" thickBot="1" x14ac:dyDescent="0.3">
      <c r="A18" s="519"/>
      <c r="B18" s="526"/>
      <c r="C18" s="529"/>
      <c r="D18" s="531"/>
      <c r="E18" s="350">
        <v>5</v>
      </c>
      <c r="F18" s="327"/>
      <c r="G18" s="322"/>
      <c r="H18" s="322"/>
      <c r="I18" s="283" t="str">
        <f t="shared" si="0"/>
        <v xml:space="preserve">  </v>
      </c>
      <c r="J18" s="206"/>
      <c r="K18" s="296" t="str">
        <f>+IFERROR(VLOOKUP($J18,'11 FORMULAS'!$B$51:$C$53,2,0),"")</f>
        <v/>
      </c>
      <c r="L18" s="296" t="str">
        <f>+IFERROR(VLOOKUP($J18,'11 FORMULAS'!$B$51:$D$53,3,0),"")</f>
        <v/>
      </c>
      <c r="M18" s="351"/>
      <c r="N18" s="352" t="str">
        <f>+IFERROR(VLOOKUP($M18,'11 FORMULAS'!$B$54:$C$55,2,0),"")</f>
        <v/>
      </c>
      <c r="O18" s="353"/>
      <c r="P18" s="353"/>
      <c r="Q18" s="353"/>
      <c r="R18" s="353"/>
      <c r="S18" s="296" t="str">
        <f t="shared" si="1"/>
        <v/>
      </c>
      <c r="T18" s="296">
        <f>IF($L18='11 FORMULAS'!$D$51,$C$8-($C$8*$S$8),$C$8)</f>
        <v>0.6</v>
      </c>
      <c r="U18" s="296">
        <f>IF(L18='11 FORMULAS'!$D$53,$D$14-($D$14*$S$14),$D$14)</f>
        <v>1</v>
      </c>
      <c r="V18" s="538"/>
      <c r="W18" s="539"/>
      <c r="X18" s="37"/>
      <c r="Y18" s="292"/>
      <c r="Z18" s="293"/>
      <c r="AA18" s="293"/>
    </row>
    <row r="19" spans="1:27" ht="29.45" hidden="1" customHeight="1" thickBot="1" x14ac:dyDescent="0.3">
      <c r="A19" s="520"/>
      <c r="B19" s="527"/>
      <c r="C19" s="530"/>
      <c r="D19" s="496"/>
      <c r="E19" s="354">
        <v>6</v>
      </c>
      <c r="F19" s="328"/>
      <c r="G19" s="207"/>
      <c r="H19" s="207"/>
      <c r="I19" s="283" t="str">
        <f t="shared" si="0"/>
        <v xml:space="preserve">  </v>
      </c>
      <c r="J19" s="206"/>
      <c r="K19" s="296" t="str">
        <f>+IFERROR(VLOOKUP($J19,'11 FORMULAS'!$B$51:$C$53,2,0),"")</f>
        <v/>
      </c>
      <c r="L19" s="296" t="str">
        <f>+IFERROR(VLOOKUP($J19,'11 FORMULAS'!$B$51:$D$53,3,0),"")</f>
        <v/>
      </c>
      <c r="M19" s="351"/>
      <c r="N19" s="352" t="str">
        <f>+IFERROR(VLOOKUP($M19,'11 FORMULAS'!$B$54:$C$55,2,0),"")</f>
        <v/>
      </c>
      <c r="O19" s="353"/>
      <c r="P19" s="353"/>
      <c r="Q19" s="353"/>
      <c r="R19" s="353"/>
      <c r="S19" s="296" t="str">
        <f t="shared" si="1"/>
        <v/>
      </c>
      <c r="T19" s="296">
        <f>IF($L19='11 FORMULAS'!$D$51,$C$8-($C$8*$S$8),$C$8)</f>
        <v>0.6</v>
      </c>
      <c r="U19" s="296">
        <f>IF(L19='11 FORMULAS'!$D$53,$D$14-($D$14*$S$14),$D$14)</f>
        <v>1</v>
      </c>
      <c r="V19" s="534"/>
      <c r="W19" s="537"/>
      <c r="X19" s="37"/>
    </row>
    <row r="20" spans="1:27" ht="186" thickBot="1" x14ac:dyDescent="0.3">
      <c r="A20" s="517" t="str">
        <f>'2 CONTEXTO E IDENTIFICACIÓN'!A11</f>
        <v>GEGI-10</v>
      </c>
      <c r="B20" s="521" t="str">
        <f>'2 CONTEXTO E IDENTIFICACIÓN'!J11</f>
        <v>Posibilidad de afectación reputacional porfalta de comunicación y credibilidad en la SES a causa de la publicación de información emitida sin la correcta divulgación al interior de la entidad.</v>
      </c>
      <c r="C20" s="491">
        <f>+'3 PROBABIL E IMPACTO INHERENTE'!E11</f>
        <v>0.4</v>
      </c>
      <c r="D20" s="494">
        <f>+'3 PROBABIL E IMPACTO INHERENTE'!M11</f>
        <v>0.2</v>
      </c>
      <c r="E20" s="355">
        <v>1</v>
      </c>
      <c r="F20" s="363" t="s">
        <v>423</v>
      </c>
      <c r="G20" s="363" t="s">
        <v>424</v>
      </c>
      <c r="H20" s="363" t="s">
        <v>425</v>
      </c>
      <c r="I20" s="283" t="s">
        <v>375</v>
      </c>
      <c r="J20" s="206" t="s">
        <v>140</v>
      </c>
      <c r="K20" s="296">
        <f>+IFERROR(VLOOKUP($J20,'11 FORMULAS'!$B$51:$C$53,2,0),"")</f>
        <v>0.25</v>
      </c>
      <c r="L20" s="296" t="str">
        <f>+IFERROR(VLOOKUP($J20,'11 FORMULAS'!$B$51:$D$53,3,0),"")</f>
        <v>Probabilidad</v>
      </c>
      <c r="M20" s="351" t="s">
        <v>152</v>
      </c>
      <c r="N20" s="352">
        <f>+IFERROR(VLOOKUP($M20,'11 FORMULAS'!$B$54:$C$55,2,0),"")</f>
        <v>0.15</v>
      </c>
      <c r="O20" s="353" t="s">
        <v>163</v>
      </c>
      <c r="P20" s="353" t="s">
        <v>246</v>
      </c>
      <c r="Q20" s="353" t="s">
        <v>155</v>
      </c>
      <c r="R20" s="353" t="s">
        <v>145</v>
      </c>
      <c r="S20" s="296">
        <f t="shared" si="1"/>
        <v>0.4</v>
      </c>
      <c r="T20" s="296">
        <f>IF($L20='11 FORMULAS'!$D$51,$C$8-($C$8*$S$8),$C$8)</f>
        <v>0.36</v>
      </c>
      <c r="U20" s="296">
        <f>IF(L20='11 FORMULAS'!$D$53,$D$20-($D$20*$S$20),$D$20)</f>
        <v>0.2</v>
      </c>
      <c r="V20" s="532">
        <f>+IF(T25="","",T25)</f>
        <v>0.6</v>
      </c>
      <c r="W20" s="535">
        <f>+IF(U25="","",U25)</f>
        <v>0.2</v>
      </c>
      <c r="X20" s="37"/>
      <c r="Y20" s="292"/>
      <c r="Z20" s="293"/>
      <c r="AA20" s="293"/>
    </row>
    <row r="21" spans="1:27" ht="29.45" hidden="1" customHeight="1" thickBot="1" x14ac:dyDescent="0.3">
      <c r="A21" s="519"/>
      <c r="B21" s="523"/>
      <c r="C21" s="492"/>
      <c r="D21" s="495"/>
      <c r="E21" s="350">
        <v>2</v>
      </c>
      <c r="F21" s="325"/>
      <c r="G21" s="206"/>
      <c r="H21" s="206"/>
      <c r="I21" s="283" t="str">
        <f t="shared" si="0"/>
        <v xml:space="preserve">  </v>
      </c>
      <c r="J21" s="206"/>
      <c r="K21" s="296" t="str">
        <f>+IFERROR(VLOOKUP($J21,'11 FORMULAS'!$B$51:$C$53,2,0),"")</f>
        <v/>
      </c>
      <c r="L21" s="296" t="str">
        <f>+IFERROR(VLOOKUP($J21,'11 FORMULAS'!$B$51:$D$53,3,0),"")</f>
        <v/>
      </c>
      <c r="M21" s="351"/>
      <c r="N21" s="352" t="str">
        <f>+IFERROR(VLOOKUP($M21,'11 FORMULAS'!$B$54:$C$55,2,0),"")</f>
        <v/>
      </c>
      <c r="O21" s="353"/>
      <c r="P21" s="353"/>
      <c r="Q21" s="353"/>
      <c r="R21" s="353"/>
      <c r="S21" s="296" t="str">
        <f t="shared" si="1"/>
        <v/>
      </c>
      <c r="T21" s="296">
        <f>IF($L21='11 FORMULAS'!$D$51,$C$8-($C$8*$S$8),$C$8)</f>
        <v>0.6</v>
      </c>
      <c r="U21" s="296">
        <f>IF(L21='11 FORMULAS'!$D$53,$D$20-($D$20*$S$20),$D$20)</f>
        <v>0.2</v>
      </c>
      <c r="V21" s="533"/>
      <c r="W21" s="536"/>
      <c r="X21" s="37"/>
      <c r="Y21" s="292"/>
      <c r="Z21" s="293"/>
      <c r="AA21" s="293"/>
    </row>
    <row r="22" spans="1:27" ht="29.45" hidden="1" customHeight="1" thickBot="1" x14ac:dyDescent="0.3">
      <c r="A22" s="519"/>
      <c r="B22" s="523"/>
      <c r="C22" s="492"/>
      <c r="D22" s="495"/>
      <c r="E22" s="350">
        <v>3</v>
      </c>
      <c r="F22" s="325"/>
      <c r="G22" s="206"/>
      <c r="H22" s="206"/>
      <c r="I22" s="283" t="str">
        <f t="shared" si="0"/>
        <v xml:space="preserve">  </v>
      </c>
      <c r="J22" s="206"/>
      <c r="K22" s="296" t="str">
        <f>+IFERROR(VLOOKUP($J22,'11 FORMULAS'!$B$51:$C$53,2,0),"")</f>
        <v/>
      </c>
      <c r="L22" s="296" t="str">
        <f>+IFERROR(VLOOKUP($J22,'11 FORMULAS'!$B$51:$D$53,3,0),"")</f>
        <v/>
      </c>
      <c r="M22" s="351"/>
      <c r="N22" s="352" t="str">
        <f>+IFERROR(VLOOKUP($M22,'11 FORMULAS'!$B$54:$C$55,2,0),"")</f>
        <v/>
      </c>
      <c r="O22" s="353"/>
      <c r="P22" s="353"/>
      <c r="Q22" s="353"/>
      <c r="R22" s="353"/>
      <c r="S22" s="296" t="str">
        <f t="shared" si="1"/>
        <v/>
      </c>
      <c r="T22" s="296">
        <f>IF($L22='11 FORMULAS'!$D$51,$C$8-($C$8*$S$8),$C$8)</f>
        <v>0.6</v>
      </c>
      <c r="U22" s="296">
        <f>IF(L22='11 FORMULAS'!$D$53,$D$20-($D$20*$S$20),$D$20)</f>
        <v>0.2</v>
      </c>
      <c r="V22" s="533"/>
      <c r="W22" s="536"/>
      <c r="X22" s="37"/>
      <c r="Y22" s="292"/>
      <c r="Z22" s="293"/>
      <c r="AA22" s="293"/>
    </row>
    <row r="23" spans="1:27" ht="29.45" hidden="1" customHeight="1" thickBot="1" x14ac:dyDescent="0.3">
      <c r="A23" s="519"/>
      <c r="B23" s="523"/>
      <c r="C23" s="492"/>
      <c r="D23" s="495"/>
      <c r="E23" s="350">
        <v>4</v>
      </c>
      <c r="F23" s="325"/>
      <c r="G23" s="206"/>
      <c r="H23" s="206"/>
      <c r="I23" s="283" t="str">
        <f t="shared" si="0"/>
        <v xml:space="preserve">  </v>
      </c>
      <c r="J23" s="206"/>
      <c r="K23" s="296" t="str">
        <f>+IFERROR(VLOOKUP($J23,'11 FORMULAS'!$B$51:$C$53,2,0),"")</f>
        <v/>
      </c>
      <c r="L23" s="296" t="str">
        <f>+IFERROR(VLOOKUP($J23,'11 FORMULAS'!$B$51:$D$53,3,0),"")</f>
        <v/>
      </c>
      <c r="M23" s="351"/>
      <c r="N23" s="352" t="str">
        <f>+IFERROR(VLOOKUP($M23,'11 FORMULAS'!$B$54:$C$55,2,0),"")</f>
        <v/>
      </c>
      <c r="O23" s="353"/>
      <c r="P23" s="353"/>
      <c r="Q23" s="353"/>
      <c r="R23" s="353"/>
      <c r="S23" s="296" t="str">
        <f t="shared" si="1"/>
        <v/>
      </c>
      <c r="T23" s="296">
        <f>IF($L23='11 FORMULAS'!$D$51,$C$8-($C$8*$S$8),$C$8)</f>
        <v>0.6</v>
      </c>
      <c r="U23" s="296">
        <f>IF(L23='11 FORMULAS'!$D$53,$D$20-($D$20*$S$20),$D$20)</f>
        <v>0.2</v>
      </c>
      <c r="V23" s="533"/>
      <c r="W23" s="536"/>
      <c r="X23" s="37"/>
      <c r="Y23" s="292"/>
      <c r="Z23" s="293"/>
      <c r="AA23" s="293"/>
    </row>
    <row r="24" spans="1:27" ht="29.45" hidden="1" customHeight="1" thickBot="1" x14ac:dyDescent="0.3">
      <c r="A24" s="519"/>
      <c r="B24" s="523"/>
      <c r="C24" s="492"/>
      <c r="D24" s="495"/>
      <c r="E24" s="350">
        <v>5</v>
      </c>
      <c r="F24" s="325"/>
      <c r="G24" s="206"/>
      <c r="H24" s="206"/>
      <c r="I24" s="283" t="str">
        <f t="shared" si="0"/>
        <v xml:space="preserve">  </v>
      </c>
      <c r="J24" s="206"/>
      <c r="K24" s="296" t="str">
        <f>+IFERROR(VLOOKUP($J24,'11 FORMULAS'!$B$51:$C$53,2,0),"")</f>
        <v/>
      </c>
      <c r="L24" s="296" t="str">
        <f>+IFERROR(VLOOKUP($J24,'11 FORMULAS'!$B$51:$D$53,3,0),"")</f>
        <v/>
      </c>
      <c r="M24" s="351"/>
      <c r="N24" s="352" t="str">
        <f>+IFERROR(VLOOKUP($M24,'11 FORMULAS'!$B$54:$C$55,2,0),"")</f>
        <v/>
      </c>
      <c r="O24" s="353"/>
      <c r="P24" s="353"/>
      <c r="Q24" s="353"/>
      <c r="R24" s="353"/>
      <c r="S24" s="296" t="str">
        <f t="shared" si="1"/>
        <v/>
      </c>
      <c r="T24" s="296">
        <f>IF($L24='11 FORMULAS'!$D$51,$C$8-($C$8*$S$8),$C$8)</f>
        <v>0.6</v>
      </c>
      <c r="U24" s="296">
        <f>IF(L24='11 FORMULAS'!$D$53,$D$20-($D$20*$S$20),$D$20)</f>
        <v>0.2</v>
      </c>
      <c r="V24" s="533"/>
      <c r="W24" s="536"/>
      <c r="X24" s="37"/>
      <c r="Y24" s="292"/>
      <c r="Z24" s="293"/>
      <c r="AA24" s="293"/>
    </row>
    <row r="25" spans="1:27" ht="29.45" hidden="1" customHeight="1" thickBot="1" x14ac:dyDescent="0.3">
      <c r="A25" s="520"/>
      <c r="B25" s="524"/>
      <c r="C25" s="493"/>
      <c r="D25" s="496"/>
      <c r="E25" s="354">
        <v>6</v>
      </c>
      <c r="F25" s="328"/>
      <c r="G25" s="207"/>
      <c r="H25" s="207"/>
      <c r="I25" s="283" t="str">
        <f t="shared" si="0"/>
        <v xml:space="preserve">  </v>
      </c>
      <c r="J25" s="206"/>
      <c r="K25" s="296" t="str">
        <f>+IFERROR(VLOOKUP($J25,'11 FORMULAS'!$B$51:$C$53,2,0),"")</f>
        <v/>
      </c>
      <c r="L25" s="296" t="str">
        <f>+IFERROR(VLOOKUP($J25,'11 FORMULAS'!$B$51:$D$53,3,0),"")</f>
        <v/>
      </c>
      <c r="M25" s="351"/>
      <c r="N25" s="352" t="str">
        <f>+IFERROR(VLOOKUP($M25,'11 FORMULAS'!$B$54:$C$55,2,0),"")</f>
        <v/>
      </c>
      <c r="O25" s="353"/>
      <c r="P25" s="353"/>
      <c r="Q25" s="353"/>
      <c r="R25" s="353"/>
      <c r="S25" s="296" t="str">
        <f t="shared" si="1"/>
        <v/>
      </c>
      <c r="T25" s="296">
        <f>IF($L25='11 FORMULAS'!$D$51,$C$8-($C$8*$S$8),$C$8)</f>
        <v>0.6</v>
      </c>
      <c r="U25" s="296">
        <f>IF(L25='11 FORMULAS'!$D$53,$D$20-($D$20*$S$20),$D$20)</f>
        <v>0.2</v>
      </c>
      <c r="V25" s="534"/>
      <c r="W25" s="537"/>
      <c r="X25" s="37"/>
    </row>
    <row r="26" spans="1:27" ht="200.25" thickBot="1" x14ac:dyDescent="0.3">
      <c r="A26" s="517" t="str">
        <f>'2 CONTEXTO E IDENTIFICACIÓN'!A12</f>
        <v>GEGI-13</v>
      </c>
      <c r="B26" s="521" t="str">
        <f>'2 CONTEXTO E IDENTIFICACIÓN'!J12</f>
        <v>Posibilidad de afectación económica y reputacional porafectación a los asistentes a actividades organizadas por la SES a causa de falta de planeación previa a la ejecución de las actividades organizadas con 100 o hasta 500 personas.</v>
      </c>
      <c r="C26" s="491">
        <f>+'3 PROBABIL E IMPACTO INHERENTE'!E12</f>
        <v>0.4</v>
      </c>
      <c r="D26" s="494">
        <f>+'3 PROBABIL E IMPACTO INHERENTE'!M12</f>
        <v>0.6</v>
      </c>
      <c r="E26" s="355">
        <v>1</v>
      </c>
      <c r="F26" s="363" t="s">
        <v>374</v>
      </c>
      <c r="G26" s="363" t="s">
        <v>376</v>
      </c>
      <c r="H26" s="363" t="s">
        <v>426</v>
      </c>
      <c r="I26" s="283" t="s">
        <v>377</v>
      </c>
      <c r="J26" s="206" t="s">
        <v>140</v>
      </c>
      <c r="K26" s="296">
        <f>+IFERROR(VLOOKUP($J26,'11 FORMULAS'!$B$51:$C$53,2,0),"")</f>
        <v>0.25</v>
      </c>
      <c r="L26" s="296" t="str">
        <f>+IFERROR(VLOOKUP($J26,'11 FORMULAS'!$B$51:$D$53,3,0),"")</f>
        <v>Probabilidad</v>
      </c>
      <c r="M26" s="351" t="s">
        <v>152</v>
      </c>
      <c r="N26" s="352">
        <f>+IFERROR(VLOOKUP($M26,'11 FORMULAS'!$B$54:$C$55,2,0),"")</f>
        <v>0.15</v>
      </c>
      <c r="O26" s="353" t="s">
        <v>142</v>
      </c>
      <c r="P26" s="353" t="s">
        <v>246</v>
      </c>
      <c r="Q26" s="353" t="s">
        <v>144</v>
      </c>
      <c r="R26" s="353" t="s">
        <v>145</v>
      </c>
      <c r="S26" s="296">
        <f t="shared" si="1"/>
        <v>0.4</v>
      </c>
      <c r="T26" s="296">
        <f>IF($L26='11 FORMULAS'!$D$51,$C$8-($C$8*$S$8),$C$8)</f>
        <v>0.36</v>
      </c>
      <c r="U26" s="296">
        <f>IF(L26='11 FORMULAS'!$D$53,$D$26-($D$26*$S$26),$D$26)</f>
        <v>0.6</v>
      </c>
      <c r="V26" s="532">
        <f>+IF(T31="","",T31)</f>
        <v>0.6</v>
      </c>
      <c r="W26" s="535">
        <f>+IF(U31="","",U31)</f>
        <v>0.6</v>
      </c>
      <c r="X26" s="37"/>
      <c r="Y26" s="292"/>
      <c r="Z26" s="293"/>
      <c r="AA26" s="293"/>
    </row>
    <row r="27" spans="1:27" ht="29.45" hidden="1" customHeight="1" thickBot="1" x14ac:dyDescent="0.3">
      <c r="A27" s="519"/>
      <c r="B27" s="523"/>
      <c r="C27" s="492"/>
      <c r="D27" s="495"/>
      <c r="E27" s="350">
        <v>2</v>
      </c>
      <c r="F27" s="325"/>
      <c r="G27" s="206"/>
      <c r="H27" s="206"/>
      <c r="I27" s="283" t="str">
        <f t="shared" si="0"/>
        <v xml:space="preserve">  </v>
      </c>
      <c r="J27" s="206"/>
      <c r="K27" s="296" t="str">
        <f>+IFERROR(VLOOKUP($J27,'11 FORMULAS'!$B$51:$C$53,2,0),"")</f>
        <v/>
      </c>
      <c r="L27" s="296" t="str">
        <f>+IFERROR(VLOOKUP($J27,'11 FORMULAS'!$B$51:$D$53,3,0),"")</f>
        <v/>
      </c>
      <c r="M27" s="351"/>
      <c r="N27" s="352" t="str">
        <f>+IFERROR(VLOOKUP($M27,'11 FORMULAS'!$B$54:$C$55,2,0),"")</f>
        <v/>
      </c>
      <c r="O27" s="353"/>
      <c r="P27" s="353"/>
      <c r="Q27" s="353"/>
      <c r="R27" s="353"/>
      <c r="S27" s="296" t="str">
        <f t="shared" si="1"/>
        <v/>
      </c>
      <c r="T27" s="296">
        <f>IF($L27='11 FORMULAS'!$D$51,$C$8-($C$8*$S$8),$C$8)</f>
        <v>0.6</v>
      </c>
      <c r="U27" s="296">
        <f>IF(L27='11 FORMULAS'!$D$53,$D$26-($D$26*$S$26),$D$26)</f>
        <v>0.6</v>
      </c>
      <c r="V27" s="533"/>
      <c r="W27" s="536"/>
      <c r="X27" s="37"/>
      <c r="Y27" s="292"/>
      <c r="Z27" s="293"/>
      <c r="AA27" s="293"/>
    </row>
    <row r="28" spans="1:27" ht="29.45" hidden="1" customHeight="1" thickBot="1" x14ac:dyDescent="0.3">
      <c r="A28" s="519"/>
      <c r="B28" s="523"/>
      <c r="C28" s="492"/>
      <c r="D28" s="495"/>
      <c r="E28" s="350">
        <v>3</v>
      </c>
      <c r="F28" s="325"/>
      <c r="G28" s="206"/>
      <c r="H28" s="206"/>
      <c r="I28" s="283" t="str">
        <f t="shared" si="0"/>
        <v xml:space="preserve">  </v>
      </c>
      <c r="J28" s="206"/>
      <c r="K28" s="296" t="str">
        <f>+IFERROR(VLOOKUP($J28,'11 FORMULAS'!$B$51:$C$53,2,0),"")</f>
        <v/>
      </c>
      <c r="L28" s="296" t="str">
        <f>+IFERROR(VLOOKUP($J28,'11 FORMULAS'!$B$51:$D$53,3,0),"")</f>
        <v/>
      </c>
      <c r="M28" s="351"/>
      <c r="N28" s="352" t="str">
        <f>+IFERROR(VLOOKUP($M28,'11 FORMULAS'!$B$54:$C$55,2,0),"")</f>
        <v/>
      </c>
      <c r="O28" s="353"/>
      <c r="P28" s="353"/>
      <c r="Q28" s="353"/>
      <c r="R28" s="353"/>
      <c r="S28" s="296" t="str">
        <f t="shared" si="1"/>
        <v/>
      </c>
      <c r="T28" s="296">
        <f>IF($L28='11 FORMULAS'!$D$51,$C$8-($C$8*$S$8),$C$8)</f>
        <v>0.6</v>
      </c>
      <c r="U28" s="296">
        <f>IF(L28='11 FORMULAS'!$D$53,$D$26-($D$26*$S$26),$D$26)</f>
        <v>0.6</v>
      </c>
      <c r="V28" s="533"/>
      <c r="W28" s="536"/>
      <c r="X28" s="37"/>
      <c r="Y28" s="292"/>
      <c r="Z28" s="293"/>
      <c r="AA28" s="293"/>
    </row>
    <row r="29" spans="1:27" ht="29.45" hidden="1" customHeight="1" thickBot="1" x14ac:dyDescent="0.3">
      <c r="A29" s="519"/>
      <c r="B29" s="523"/>
      <c r="C29" s="492"/>
      <c r="D29" s="495"/>
      <c r="E29" s="350">
        <v>4</v>
      </c>
      <c r="F29" s="325"/>
      <c r="G29" s="206"/>
      <c r="H29" s="206"/>
      <c r="I29" s="283" t="str">
        <f t="shared" si="0"/>
        <v xml:space="preserve">  </v>
      </c>
      <c r="J29" s="206"/>
      <c r="K29" s="296" t="str">
        <f>+IFERROR(VLOOKUP($J29,'11 FORMULAS'!$B$51:$C$53,2,0),"")</f>
        <v/>
      </c>
      <c r="L29" s="296" t="str">
        <f>+IFERROR(VLOOKUP($J29,'11 FORMULAS'!$B$51:$D$53,3,0),"")</f>
        <v/>
      </c>
      <c r="M29" s="351"/>
      <c r="N29" s="352" t="str">
        <f>+IFERROR(VLOOKUP($M29,'11 FORMULAS'!$B$54:$C$55,2,0),"")</f>
        <v/>
      </c>
      <c r="O29" s="353"/>
      <c r="P29" s="353"/>
      <c r="Q29" s="353"/>
      <c r="R29" s="353"/>
      <c r="S29" s="296" t="str">
        <f t="shared" si="1"/>
        <v/>
      </c>
      <c r="T29" s="296">
        <f>IF($L29='11 FORMULAS'!$D$51,$C$8-($C$8*$S$8),$C$8)</f>
        <v>0.6</v>
      </c>
      <c r="U29" s="296">
        <f>IF(L29='11 FORMULAS'!$D$53,$D$26-($D$26*$S$26),$D$26)</f>
        <v>0.6</v>
      </c>
      <c r="V29" s="533"/>
      <c r="W29" s="536"/>
      <c r="X29" s="37"/>
      <c r="Y29" s="292"/>
      <c r="Z29" s="293"/>
      <c r="AA29" s="293"/>
    </row>
    <row r="30" spans="1:27" ht="29.45" hidden="1" customHeight="1" thickBot="1" x14ac:dyDescent="0.3">
      <c r="A30" s="519"/>
      <c r="B30" s="523"/>
      <c r="C30" s="492"/>
      <c r="D30" s="495"/>
      <c r="E30" s="350">
        <v>5</v>
      </c>
      <c r="F30" s="325"/>
      <c r="G30" s="206"/>
      <c r="H30" s="206"/>
      <c r="I30" s="283" t="str">
        <f t="shared" si="0"/>
        <v xml:space="preserve">  </v>
      </c>
      <c r="J30" s="206"/>
      <c r="K30" s="296" t="str">
        <f>+IFERROR(VLOOKUP($J30,'11 FORMULAS'!$B$51:$C$53,2,0),"")</f>
        <v/>
      </c>
      <c r="L30" s="296" t="str">
        <f>+IFERROR(VLOOKUP($J30,'11 FORMULAS'!$B$51:$D$53,3,0),"")</f>
        <v/>
      </c>
      <c r="M30" s="351"/>
      <c r="N30" s="352" t="str">
        <f>+IFERROR(VLOOKUP($M30,'11 FORMULAS'!$B$54:$C$55,2,0),"")</f>
        <v/>
      </c>
      <c r="O30" s="353"/>
      <c r="P30" s="353"/>
      <c r="Q30" s="353"/>
      <c r="R30" s="353"/>
      <c r="S30" s="296" t="str">
        <f t="shared" si="1"/>
        <v/>
      </c>
      <c r="T30" s="296">
        <f>IF($L30='11 FORMULAS'!$D$51,$C$8-($C$8*$S$8),$C$8)</f>
        <v>0.6</v>
      </c>
      <c r="U30" s="296">
        <f>IF(L30='11 FORMULAS'!$D$53,$D$26-($D$26*$S$26),$D$26)</f>
        <v>0.6</v>
      </c>
      <c r="V30" s="533"/>
      <c r="W30" s="536"/>
      <c r="X30" s="37"/>
      <c r="Y30" s="292"/>
      <c r="Z30" s="293"/>
      <c r="AA30" s="293"/>
    </row>
    <row r="31" spans="1:27" ht="29.45" hidden="1" customHeight="1" thickBot="1" x14ac:dyDescent="0.3">
      <c r="A31" s="520"/>
      <c r="B31" s="524"/>
      <c r="C31" s="493"/>
      <c r="D31" s="496"/>
      <c r="E31" s="354">
        <v>6</v>
      </c>
      <c r="F31" s="328"/>
      <c r="G31" s="207"/>
      <c r="H31" s="207"/>
      <c r="I31" s="283" t="str">
        <f t="shared" si="0"/>
        <v xml:space="preserve">  </v>
      </c>
      <c r="J31" s="206"/>
      <c r="K31" s="296" t="str">
        <f>+IFERROR(VLOOKUP($J31,'11 FORMULAS'!$B$51:$C$53,2,0),"")</f>
        <v/>
      </c>
      <c r="L31" s="296" t="str">
        <f>+IFERROR(VLOOKUP($J31,'11 FORMULAS'!$B$51:$D$53,3,0),"")</f>
        <v/>
      </c>
      <c r="M31" s="351"/>
      <c r="N31" s="352" t="str">
        <f>+IFERROR(VLOOKUP($M31,'11 FORMULAS'!$B$54:$C$55,2,0),"")</f>
        <v/>
      </c>
      <c r="O31" s="353"/>
      <c r="P31" s="353"/>
      <c r="Q31" s="353"/>
      <c r="R31" s="353"/>
      <c r="S31" s="296" t="str">
        <f t="shared" si="1"/>
        <v/>
      </c>
      <c r="T31" s="296">
        <f>IF($L31='11 FORMULAS'!$D$51,$C$8-($C$8*$S$8),$C$8)</f>
        <v>0.6</v>
      </c>
      <c r="U31" s="296">
        <f>IF(L31='11 FORMULAS'!$D$53,$D$26-($D$26*$S$26),$D$26)</f>
        <v>0.6</v>
      </c>
      <c r="V31" s="534"/>
      <c r="W31" s="537"/>
      <c r="X31" s="37"/>
    </row>
    <row r="32" spans="1:27" ht="159.75" customHeight="1" thickBot="1" x14ac:dyDescent="0.3">
      <c r="A32" s="517" t="str">
        <f>'2 CONTEXTO E IDENTIFICACIÓN'!A13</f>
        <v>GEGI-14</v>
      </c>
      <c r="B32" s="521" t="str">
        <f>'2 CONTEXTO E IDENTIFICACIÓN'!J13</f>
        <v>Posibilidad de pérdida reputacional porsolicitar o recibir dádivas para adelantar trámites ante la Supersolidaria a causa de desconocimiento de los servicios dispuestos por la SES por parte de las entidades de economía solidaria, asociados y ciudadanía en general en la solicitud de trámites.</v>
      </c>
      <c r="C32" s="491">
        <f>+'3 PROBABIL E IMPACTO INHERENTE'!E13</f>
        <v>0.4</v>
      </c>
      <c r="D32" s="494">
        <f>+'3 PROBABIL E IMPACTO INHERENTE'!M13</f>
        <v>0.4</v>
      </c>
      <c r="E32" s="355">
        <v>1</v>
      </c>
      <c r="F32" s="363" t="s">
        <v>413</v>
      </c>
      <c r="G32" s="363" t="s">
        <v>427</v>
      </c>
      <c r="H32" s="363" t="s">
        <v>428</v>
      </c>
      <c r="I32" s="283" t="str">
        <f t="shared" si="0"/>
        <v>El Profesional Universitario del GIT de Relacionamiento con la Ciudadanía Realiza la socialización de los trámites y servicios de la SES a los servidores de la Entidad. Esto se realiza de manera Trimestral
 Evidencia: Listados de asistencia, diapositivas, actas de reunión</v>
      </c>
      <c r="J32" s="206" t="s">
        <v>140</v>
      </c>
      <c r="K32" s="296">
        <f>+IFERROR(VLOOKUP($J32,'11 FORMULAS'!$B$51:$C$53,2,0),"")</f>
        <v>0.25</v>
      </c>
      <c r="L32" s="296" t="str">
        <f>+IFERROR(VLOOKUP($J32,'11 FORMULAS'!$B$51:$D$53,3,0),"")</f>
        <v>Probabilidad</v>
      </c>
      <c r="M32" s="351" t="s">
        <v>152</v>
      </c>
      <c r="N32" s="352">
        <f>+IFERROR(VLOOKUP($M32,'11 FORMULAS'!$B$54:$C$55,2,0),"")</f>
        <v>0.15</v>
      </c>
      <c r="O32" s="353" t="s">
        <v>163</v>
      </c>
      <c r="P32" s="353" t="s">
        <v>248</v>
      </c>
      <c r="Q32" s="353" t="s">
        <v>155</v>
      </c>
      <c r="R32" s="353" t="s">
        <v>145</v>
      </c>
      <c r="S32" s="296">
        <f t="shared" si="1"/>
        <v>0.4</v>
      </c>
      <c r="T32" s="296">
        <f>IF($L32='11 FORMULAS'!$D$51,$C$8-($C$8*$S$8),$C$8)</f>
        <v>0.36</v>
      </c>
      <c r="U32" s="296">
        <f>IF($L32='11 FORMULAS'!$D$53,$D$32-($D$32*$S$32),$D$32)</f>
        <v>0.4</v>
      </c>
      <c r="V32" s="532">
        <f>+IF(T37="","",T37)</f>
        <v>0.6</v>
      </c>
      <c r="W32" s="535">
        <f>+IF(U37="","",U37)</f>
        <v>0.4</v>
      </c>
      <c r="X32" s="37"/>
      <c r="Y32" s="292"/>
      <c r="Z32" s="293"/>
      <c r="AA32" s="293"/>
    </row>
    <row r="33" spans="1:27" ht="141.75" customHeight="1" thickBot="1" x14ac:dyDescent="0.3">
      <c r="A33" s="518"/>
      <c r="B33" s="522"/>
      <c r="C33" s="515"/>
      <c r="D33" s="516"/>
      <c r="E33" s="350">
        <v>2</v>
      </c>
      <c r="F33" s="363" t="s">
        <v>396</v>
      </c>
      <c r="G33" s="363" t="s">
        <v>429</v>
      </c>
      <c r="H33" s="363" t="s">
        <v>430</v>
      </c>
      <c r="I33" s="283" t="str">
        <f t="shared" si="0"/>
        <v>El Coordinador del GIT de Relacionamiento con la Ciudadanía realiza dos actividades audiovisuales de fomento a la transparencia y la lucha contra la corrupción en donde se divulgue a la ciudadanía las consecuencias de identificar faltas a la honestidad y a la ética del servidor público en la SES. Esto se realiza de manera Semestral
 Evidencia: Material audiovisual, link de publicación web.</v>
      </c>
      <c r="J33" s="206" t="s">
        <v>140</v>
      </c>
      <c r="K33" s="296">
        <f>+IFERROR(VLOOKUP($J33,'11 FORMULAS'!$B$51:$C$53,2,0),"")</f>
        <v>0.25</v>
      </c>
      <c r="L33" s="296" t="str">
        <f>+IFERROR(VLOOKUP($J33,'11 FORMULAS'!$B$51:$D$53,3,0),"")</f>
        <v>Probabilidad</v>
      </c>
      <c r="M33" s="351" t="s">
        <v>152</v>
      </c>
      <c r="N33" s="352">
        <f>+IFERROR(VLOOKUP($M33,'11 FORMULAS'!$B$54:$C$55,2,0),"")</f>
        <v>0.15</v>
      </c>
      <c r="O33" s="353" t="s">
        <v>153</v>
      </c>
      <c r="P33" s="353" t="s">
        <v>249</v>
      </c>
      <c r="Q33" s="353" t="s">
        <v>144</v>
      </c>
      <c r="R33" s="353" t="s">
        <v>254</v>
      </c>
      <c r="S33" s="296">
        <f t="shared" si="1"/>
        <v>0.4</v>
      </c>
      <c r="T33" s="296">
        <f>IF($L33='11 FORMULAS'!$D$51,$C$8-($C$8*$S$8),$C$8)</f>
        <v>0.36</v>
      </c>
      <c r="U33" s="296">
        <f>IF($L33='11 FORMULAS'!$D$53,$D$32-($D$32*$S$32),$D$32)</f>
        <v>0.4</v>
      </c>
      <c r="V33" s="540"/>
      <c r="W33" s="541"/>
      <c r="X33" s="37"/>
      <c r="Y33" s="292"/>
      <c r="Z33" s="293"/>
      <c r="AA33" s="293"/>
    </row>
    <row r="34" spans="1:27" ht="29.45" hidden="1" customHeight="1" thickBot="1" x14ac:dyDescent="0.3">
      <c r="A34" s="518"/>
      <c r="B34" s="522"/>
      <c r="C34" s="515"/>
      <c r="D34" s="516"/>
      <c r="E34" s="350">
        <v>3</v>
      </c>
      <c r="F34" s="324"/>
      <c r="G34" s="321"/>
      <c r="H34" s="321"/>
      <c r="I34" s="283" t="str">
        <f t="shared" si="0"/>
        <v xml:space="preserve">  </v>
      </c>
      <c r="J34" s="206"/>
      <c r="K34" s="296" t="str">
        <f>+IFERROR(VLOOKUP($J34,'11 FORMULAS'!$B$51:$C$53,2,0),"")</f>
        <v/>
      </c>
      <c r="L34" s="296" t="str">
        <f>+IFERROR(VLOOKUP($J34,'11 FORMULAS'!$B$51:$D$53,3,0),"")</f>
        <v/>
      </c>
      <c r="M34" s="351"/>
      <c r="N34" s="352" t="str">
        <f>+IFERROR(VLOOKUP($M34,'11 FORMULAS'!$B$54:$C$55,2,0),"")</f>
        <v/>
      </c>
      <c r="O34" s="353"/>
      <c r="P34" s="353"/>
      <c r="Q34" s="353"/>
      <c r="R34" s="353"/>
      <c r="S34" s="296" t="str">
        <f t="shared" si="1"/>
        <v/>
      </c>
      <c r="T34" s="296">
        <f>IF($L34='11 FORMULAS'!$D$51,$C$8-($C$8*$S$8),$C$8)</f>
        <v>0.6</v>
      </c>
      <c r="U34" s="296">
        <f>IF($L34='11 FORMULAS'!$D$53,$D$32-($D$32*$S$32),$D$32)</f>
        <v>0.4</v>
      </c>
      <c r="V34" s="540"/>
      <c r="W34" s="541"/>
      <c r="X34" s="37"/>
      <c r="Y34" s="292"/>
      <c r="Z34" s="293"/>
      <c r="AA34" s="293"/>
    </row>
    <row r="35" spans="1:27" ht="29.45" hidden="1" customHeight="1" thickBot="1" x14ac:dyDescent="0.3">
      <c r="A35" s="519"/>
      <c r="B35" s="523"/>
      <c r="C35" s="492"/>
      <c r="D35" s="495"/>
      <c r="E35" s="350">
        <v>4</v>
      </c>
      <c r="F35" s="325"/>
      <c r="G35" s="206"/>
      <c r="H35" s="206"/>
      <c r="I35" s="283" t="str">
        <f t="shared" si="0"/>
        <v xml:space="preserve">  </v>
      </c>
      <c r="J35" s="206"/>
      <c r="K35" s="296" t="str">
        <f>+IFERROR(VLOOKUP($J35,'11 FORMULAS'!$B$51:$C$53,2,0),"")</f>
        <v/>
      </c>
      <c r="L35" s="296" t="str">
        <f>+IFERROR(VLOOKUP($J35,'11 FORMULAS'!$B$51:$D$53,3,0),"")</f>
        <v/>
      </c>
      <c r="M35" s="351"/>
      <c r="N35" s="352" t="str">
        <f>+IFERROR(VLOOKUP($M35,'11 FORMULAS'!$B$54:$C$55,2,0),"")</f>
        <v/>
      </c>
      <c r="O35" s="353"/>
      <c r="P35" s="353"/>
      <c r="Q35" s="353"/>
      <c r="R35" s="353"/>
      <c r="S35" s="296" t="str">
        <f t="shared" si="1"/>
        <v/>
      </c>
      <c r="T35" s="296">
        <f>IF($L35='11 FORMULAS'!$D$51,$C$8-($C$8*$S$8),$C$8)</f>
        <v>0.6</v>
      </c>
      <c r="U35" s="296">
        <f>IF($L35='11 FORMULAS'!$D$53,$D$32-($D$32*$S$32),$D$32)</f>
        <v>0.4</v>
      </c>
      <c r="V35" s="533"/>
      <c r="W35" s="536"/>
      <c r="X35" s="37"/>
      <c r="Y35" s="292"/>
      <c r="Z35" s="293"/>
      <c r="AA35" s="293"/>
    </row>
    <row r="36" spans="1:27" ht="29.45" hidden="1" customHeight="1" thickBot="1" x14ac:dyDescent="0.3">
      <c r="A36" s="519"/>
      <c r="B36" s="523"/>
      <c r="C36" s="492"/>
      <c r="D36" s="495"/>
      <c r="E36" s="350">
        <v>5</v>
      </c>
      <c r="F36" s="325"/>
      <c r="G36" s="206"/>
      <c r="H36" s="206"/>
      <c r="I36" s="283" t="str">
        <f t="shared" si="0"/>
        <v xml:space="preserve">  </v>
      </c>
      <c r="J36" s="206"/>
      <c r="K36" s="296" t="str">
        <f>+IFERROR(VLOOKUP($J36,'11 FORMULAS'!$B$51:$C$53,2,0),"")</f>
        <v/>
      </c>
      <c r="L36" s="296" t="str">
        <f>+IFERROR(VLOOKUP($J36,'11 FORMULAS'!$B$51:$D$53,3,0),"")</f>
        <v/>
      </c>
      <c r="M36" s="351"/>
      <c r="N36" s="352" t="str">
        <f>+IFERROR(VLOOKUP($M36,'11 FORMULAS'!$B$54:$C$55,2,0),"")</f>
        <v/>
      </c>
      <c r="O36" s="353"/>
      <c r="P36" s="353"/>
      <c r="Q36" s="353"/>
      <c r="R36" s="353"/>
      <c r="S36" s="296" t="str">
        <f t="shared" si="1"/>
        <v/>
      </c>
      <c r="T36" s="296">
        <f>IF($L36='11 FORMULAS'!$D$51,$C$8-($C$8*$S$8),$C$8)</f>
        <v>0.6</v>
      </c>
      <c r="U36" s="296">
        <f>IF($L36='11 FORMULAS'!$D$53,$D$32-($D$32*$S$32),$D$32)</f>
        <v>0.4</v>
      </c>
      <c r="V36" s="533"/>
      <c r="W36" s="536"/>
      <c r="X36" s="37"/>
      <c r="Y36" s="292"/>
      <c r="Z36" s="293"/>
      <c r="AA36" s="293"/>
    </row>
    <row r="37" spans="1:27" ht="29.45" hidden="1" customHeight="1" thickBot="1" x14ac:dyDescent="0.3">
      <c r="A37" s="520"/>
      <c r="B37" s="524"/>
      <c r="C37" s="493"/>
      <c r="D37" s="496"/>
      <c r="E37" s="350">
        <v>6</v>
      </c>
      <c r="F37" s="328"/>
      <c r="G37" s="207"/>
      <c r="H37" s="207"/>
      <c r="I37" s="283" t="str">
        <f t="shared" si="0"/>
        <v xml:space="preserve">  </v>
      </c>
      <c r="J37" s="206"/>
      <c r="K37" s="296" t="str">
        <f>+IFERROR(VLOOKUP($J37,'11 FORMULAS'!$B$51:$C$53,2,0),"")</f>
        <v/>
      </c>
      <c r="L37" s="296" t="str">
        <f>+IFERROR(VLOOKUP($J37,'11 FORMULAS'!$B$51:$D$53,3,0),"")</f>
        <v/>
      </c>
      <c r="M37" s="351"/>
      <c r="N37" s="352" t="str">
        <f>+IFERROR(VLOOKUP($M37,'11 FORMULAS'!$B$54:$C$55,2,0),"")</f>
        <v/>
      </c>
      <c r="O37" s="353"/>
      <c r="P37" s="353"/>
      <c r="Q37" s="353"/>
      <c r="R37" s="353"/>
      <c r="S37" s="296" t="str">
        <f t="shared" si="1"/>
        <v/>
      </c>
      <c r="T37" s="296">
        <f>IF($L37='11 FORMULAS'!$D$51,$C$8-($C$8*$S$8),$C$8)</f>
        <v>0.6</v>
      </c>
      <c r="U37" s="296">
        <f>IF($L37='11 FORMULAS'!$D$53,$D$32-($D$32*$S$32),$D$32)</f>
        <v>0.4</v>
      </c>
      <c r="V37" s="534"/>
      <c r="W37" s="537"/>
      <c r="X37" s="37"/>
    </row>
    <row r="38" spans="1:27" ht="189" customHeight="1" thickBot="1" x14ac:dyDescent="0.3">
      <c r="A38" s="517" t="str">
        <f>'2 CONTEXTO E IDENTIFICACIÓN'!A14</f>
        <v>GEGI-15</v>
      </c>
      <c r="B38" s="521" t="str">
        <f>+'2 CONTEXTO E IDENTIFICACIÓN'!J14</f>
        <v>Posibilidad de pérdida reputacional porfalta de interiorización de los valores institucionales señalados en el Código de Integridad por parte de los servidores de la entidad a causa de desconocimiento y/o falta de apropiación de la politica de conflictos de interés de la SES lo que podria generar recibir beneficios particulares o para un tercero por suministrar a traves de los canales de atención y comunicación de la SES información especifica de alguna organización solidaria vigilada o sus asociados.</v>
      </c>
      <c r="C38" s="491">
        <f>+'3 PROBABIL E IMPACTO INHERENTE'!E14</f>
        <v>0.4</v>
      </c>
      <c r="D38" s="494">
        <f>+'3 PROBABIL E IMPACTO INHERENTE'!M14</f>
        <v>0.2</v>
      </c>
      <c r="E38" s="350">
        <v>1</v>
      </c>
      <c r="F38" s="363" t="s">
        <v>397</v>
      </c>
      <c r="G38" s="363" t="s">
        <v>398</v>
      </c>
      <c r="H38" s="363" t="s">
        <v>431</v>
      </c>
      <c r="I38" s="283" t="str">
        <f t="shared" si="0"/>
        <v>El Coordinador de comunicaciones diseña e implementa estrategias de comunicación interna para promover los valores institucionales de acuerdo a lo establecido en el codigo de integridad de los funcionarios de la SES. Esto se realiza de manera mensual
 Evidencia: Piezas gráficas diseñadas.</v>
      </c>
      <c r="J38" s="206" t="s">
        <v>140</v>
      </c>
      <c r="K38" s="296">
        <f>+IFERROR(VLOOKUP($J38,'11 FORMULAS'!$B$51:$C$53,2,0),"")</f>
        <v>0.25</v>
      </c>
      <c r="L38" s="296" t="str">
        <f>+IFERROR(VLOOKUP($J38,'11 FORMULAS'!$B$51:$D$53,3,0),"")</f>
        <v>Probabilidad</v>
      </c>
      <c r="M38" s="351" t="s">
        <v>141</v>
      </c>
      <c r="N38" s="352">
        <f>+IFERROR(VLOOKUP($M38,'11 FORMULAS'!$B$54:$C$55,2,0),"")</f>
        <v>0.25</v>
      </c>
      <c r="O38" s="353" t="s">
        <v>153</v>
      </c>
      <c r="P38" s="353" t="s">
        <v>246</v>
      </c>
      <c r="Q38" s="353" t="s">
        <v>144</v>
      </c>
      <c r="R38" s="353" t="s">
        <v>254</v>
      </c>
      <c r="S38" s="296">
        <f t="shared" si="1"/>
        <v>0.5</v>
      </c>
      <c r="T38" s="296">
        <f>IF($L38='11 FORMULAS'!$D$51,$C$8-($C$8*$S$8),$C$8)</f>
        <v>0.36</v>
      </c>
      <c r="U38" s="296">
        <f>IF($L38='11 FORMULAS'!$D$53,$D$38-($D$38*$S$38),$D$38)</f>
        <v>0.2</v>
      </c>
      <c r="V38" s="532">
        <f>+IF(T43="","",T43)</f>
        <v>0.6</v>
      </c>
      <c r="W38" s="535">
        <f>+IF(U43="","",U43)</f>
        <v>0.2</v>
      </c>
      <c r="X38" s="37"/>
      <c r="Y38" s="292"/>
      <c r="Z38" s="293"/>
      <c r="AA38" s="293"/>
    </row>
    <row r="39" spans="1:27" ht="121.5" customHeight="1" thickBot="1" x14ac:dyDescent="0.3">
      <c r="A39" s="519"/>
      <c r="B39" s="523"/>
      <c r="C39" s="515"/>
      <c r="D39" s="516"/>
      <c r="E39" s="350">
        <v>2</v>
      </c>
      <c r="F39" s="326"/>
      <c r="G39" s="206"/>
      <c r="H39" s="206"/>
      <c r="I39" s="283" t="str">
        <f t="shared" si="0"/>
        <v xml:space="preserve">  </v>
      </c>
      <c r="J39" s="206" t="s">
        <v>140</v>
      </c>
      <c r="K39" s="296">
        <f>+IFERROR(VLOOKUP($J39,'11 FORMULAS'!$B$51:$C$53,2,0),"")</f>
        <v>0.25</v>
      </c>
      <c r="L39" s="296" t="str">
        <f>+IFERROR(VLOOKUP($J39,'11 FORMULAS'!$B$51:$D$53,3,0),"")</f>
        <v>Probabilidad</v>
      </c>
      <c r="M39" s="351" t="s">
        <v>141</v>
      </c>
      <c r="N39" s="352">
        <f>+IFERROR(VLOOKUP($M39,'11 FORMULAS'!$B$54:$C$55,2,0),"")</f>
        <v>0.25</v>
      </c>
      <c r="O39" s="353" t="s">
        <v>153</v>
      </c>
      <c r="P39" s="353" t="s">
        <v>246</v>
      </c>
      <c r="Q39" s="353" t="s">
        <v>144</v>
      </c>
      <c r="R39" s="353" t="s">
        <v>254</v>
      </c>
      <c r="S39" s="296">
        <f t="shared" si="1"/>
        <v>0.5</v>
      </c>
      <c r="T39" s="296">
        <f>IF($L39='11 FORMULAS'!$D$51,$C$8-($C$8*$S$8),$C$8)</f>
        <v>0.36</v>
      </c>
      <c r="U39" s="296">
        <f>IF($L39='11 FORMULAS'!$D$53,$D$38-($D$38*$S$38),$D$38)</f>
        <v>0.2</v>
      </c>
      <c r="V39" s="540"/>
      <c r="W39" s="541"/>
      <c r="X39" s="37"/>
      <c r="Y39" s="292"/>
      <c r="Z39" s="293"/>
      <c r="AA39" s="293"/>
    </row>
    <row r="40" spans="1:27" ht="29.45" hidden="1" customHeight="1" thickBot="1" x14ac:dyDescent="0.3">
      <c r="A40" s="519"/>
      <c r="B40" s="523"/>
      <c r="C40" s="515"/>
      <c r="D40" s="516"/>
      <c r="E40" s="350">
        <v>3</v>
      </c>
      <c r="F40" s="324"/>
      <c r="G40" s="321"/>
      <c r="H40" s="321"/>
      <c r="I40" s="283" t="str">
        <f t="shared" si="0"/>
        <v xml:space="preserve">  </v>
      </c>
      <c r="J40" s="206"/>
      <c r="K40" s="296" t="str">
        <f>+IFERROR(VLOOKUP($J40,'11 FORMULAS'!$B$51:$C$53,2,0),"")</f>
        <v/>
      </c>
      <c r="L40" s="296" t="str">
        <f>+IFERROR(VLOOKUP($J40,'11 FORMULAS'!$B$51:$D$53,3,0),"")</f>
        <v/>
      </c>
      <c r="M40" s="351"/>
      <c r="N40" s="352" t="str">
        <f>+IFERROR(VLOOKUP($M40,'11 FORMULAS'!$B$54:$C$55,2,0),"")</f>
        <v/>
      </c>
      <c r="O40" s="353"/>
      <c r="P40" s="353"/>
      <c r="Q40" s="353"/>
      <c r="R40" s="353"/>
      <c r="S40" s="296" t="str">
        <f t="shared" si="1"/>
        <v/>
      </c>
      <c r="T40" s="296">
        <f>IF($L40='11 FORMULAS'!$D$51,$C$8-($C$8*$S$8),$C$8)</f>
        <v>0.6</v>
      </c>
      <c r="U40" s="296">
        <f>IF($L40='11 FORMULAS'!$D$53,$D$38-($D$38*$S$38),$D$38)</f>
        <v>0.2</v>
      </c>
      <c r="V40" s="540"/>
      <c r="W40" s="541"/>
      <c r="X40" s="37"/>
      <c r="Y40" s="292"/>
      <c r="Z40" s="293"/>
      <c r="AA40" s="293"/>
    </row>
    <row r="41" spans="1:27" ht="29.45" hidden="1" customHeight="1" thickBot="1" x14ac:dyDescent="0.3">
      <c r="A41" s="519"/>
      <c r="B41" s="523"/>
      <c r="C41" s="492"/>
      <c r="D41" s="495"/>
      <c r="E41" s="350">
        <v>4</v>
      </c>
      <c r="F41" s="325"/>
      <c r="G41" s="206"/>
      <c r="H41" s="206"/>
      <c r="I41" s="283" t="str">
        <f t="shared" si="0"/>
        <v xml:space="preserve">  </v>
      </c>
      <c r="J41" s="206"/>
      <c r="K41" s="296" t="str">
        <f>+IFERROR(VLOOKUP($J41,'11 FORMULAS'!$B$51:$C$53,2,0),"")</f>
        <v/>
      </c>
      <c r="L41" s="296" t="str">
        <f>+IFERROR(VLOOKUP($J41,'11 FORMULAS'!$B$51:$D$53,3,0),"")</f>
        <v/>
      </c>
      <c r="M41" s="351"/>
      <c r="N41" s="352" t="str">
        <f>+IFERROR(VLOOKUP($M41,'11 FORMULAS'!$B$54:$C$55,2,0),"")</f>
        <v/>
      </c>
      <c r="O41" s="353"/>
      <c r="P41" s="353"/>
      <c r="Q41" s="353"/>
      <c r="R41" s="353"/>
      <c r="S41" s="296" t="str">
        <f t="shared" si="1"/>
        <v/>
      </c>
      <c r="T41" s="296">
        <f>IF($L41='11 FORMULAS'!$D$51,$C$8-($C$8*$S$8),$C$8)</f>
        <v>0.6</v>
      </c>
      <c r="U41" s="296">
        <f>IF($L41='11 FORMULAS'!$D$53,$D$38-($D$38*$S$38),$D$38)</f>
        <v>0.2</v>
      </c>
      <c r="V41" s="533"/>
      <c r="W41" s="536"/>
      <c r="X41" s="37"/>
      <c r="Y41" s="292"/>
      <c r="Z41" s="293"/>
      <c r="AA41" s="293"/>
    </row>
    <row r="42" spans="1:27" ht="29.45" hidden="1" customHeight="1" thickBot="1" x14ac:dyDescent="0.3">
      <c r="A42" s="519"/>
      <c r="B42" s="523"/>
      <c r="C42" s="492"/>
      <c r="D42" s="495"/>
      <c r="E42" s="350">
        <v>5</v>
      </c>
      <c r="F42" s="325"/>
      <c r="G42" s="206"/>
      <c r="H42" s="206"/>
      <c r="I42" s="283" t="str">
        <f t="shared" si="0"/>
        <v xml:space="preserve">  </v>
      </c>
      <c r="J42" s="206"/>
      <c r="K42" s="296" t="str">
        <f>+IFERROR(VLOOKUP($J42,'11 FORMULAS'!$B$51:$C$53,2,0),"")</f>
        <v/>
      </c>
      <c r="L42" s="296" t="str">
        <f>+IFERROR(VLOOKUP($J42,'11 FORMULAS'!$B$51:$D$53,3,0),"")</f>
        <v/>
      </c>
      <c r="M42" s="351"/>
      <c r="N42" s="352" t="str">
        <f>+IFERROR(VLOOKUP($M42,'11 FORMULAS'!$B$54:$C$55,2,0),"")</f>
        <v/>
      </c>
      <c r="O42" s="353"/>
      <c r="P42" s="353"/>
      <c r="Q42" s="353"/>
      <c r="R42" s="353"/>
      <c r="S42" s="296" t="str">
        <f t="shared" si="1"/>
        <v/>
      </c>
      <c r="T42" s="296">
        <f>IF($L42='11 FORMULAS'!$D$51,$C$8-($C$8*$S$8),$C$8)</f>
        <v>0.6</v>
      </c>
      <c r="U42" s="296">
        <f>IF($L42='11 FORMULAS'!$D$53,$D$38-($D$38*$S$38),$D$38)</f>
        <v>0.2</v>
      </c>
      <c r="V42" s="533"/>
      <c r="W42" s="536"/>
      <c r="X42" s="37"/>
      <c r="Y42" s="292"/>
      <c r="Z42" s="293"/>
      <c r="AA42" s="293"/>
    </row>
    <row r="43" spans="1:27" ht="29.45" hidden="1" customHeight="1" thickBot="1" x14ac:dyDescent="0.3">
      <c r="A43" s="520"/>
      <c r="B43" s="524"/>
      <c r="C43" s="493"/>
      <c r="D43" s="496"/>
      <c r="E43" s="354">
        <v>6</v>
      </c>
      <c r="F43" s="328"/>
      <c r="G43" s="207"/>
      <c r="H43" s="207"/>
      <c r="I43" s="283" t="str">
        <f t="shared" si="0"/>
        <v xml:space="preserve">  </v>
      </c>
      <c r="J43" s="206"/>
      <c r="K43" s="296" t="str">
        <f>+IFERROR(VLOOKUP($J43,'11 FORMULAS'!$B$51:$C$53,2,0),"")</f>
        <v/>
      </c>
      <c r="L43" s="296" t="str">
        <f>+IFERROR(VLOOKUP($J43,'11 FORMULAS'!$B$51:$D$53,3,0),"")</f>
        <v/>
      </c>
      <c r="M43" s="351"/>
      <c r="N43" s="352" t="str">
        <f>+IFERROR(VLOOKUP($M43,'11 FORMULAS'!$B$54:$C$55,2,0),"")</f>
        <v/>
      </c>
      <c r="O43" s="353"/>
      <c r="P43" s="353"/>
      <c r="Q43" s="353"/>
      <c r="R43" s="353"/>
      <c r="S43" s="296" t="str">
        <f t="shared" si="1"/>
        <v/>
      </c>
      <c r="T43" s="296">
        <f>IF($L43='11 FORMULAS'!$D$51,$C$8-($C$8*$S$8),$C$8)</f>
        <v>0.6</v>
      </c>
      <c r="U43" s="296">
        <f>IF($L43='11 FORMULAS'!$D$53,$D$38-($D$38*$S$38),$D$38)</f>
        <v>0.2</v>
      </c>
      <c r="V43" s="534"/>
      <c r="W43" s="537"/>
      <c r="X43" s="37"/>
    </row>
    <row r="44" spans="1:27" ht="134.25" customHeight="1" x14ac:dyDescent="0.25">
      <c r="A44" s="517" t="str">
        <f>'2 CONTEXTO E IDENTIFICACIÓN'!A15</f>
        <v>GEGI-12</v>
      </c>
      <c r="B44" s="521" t="str">
        <f>+'2 CONTEXTO E IDENTIFICACIÓN'!J15</f>
        <v>Posibilidad de pérdida reputacional porrecibir un beneficio particular o para un tercero a causa de suministrar a través de los canales de atención y comunicación de la SES información especifica de alguna organización solidaria vigilada o sus asociados.</v>
      </c>
      <c r="C44" s="491">
        <f>+'3 PROBABIL E IMPACTO INHERENTE'!E15</f>
        <v>0.4</v>
      </c>
      <c r="D44" s="494">
        <f>+'3 PROBABIL E IMPACTO INHERENTE'!M15</f>
        <v>0.2</v>
      </c>
      <c r="E44" s="355">
        <v>1</v>
      </c>
      <c r="F44" s="363" t="s">
        <v>397</v>
      </c>
      <c r="G44" s="363" t="s">
        <v>432</v>
      </c>
      <c r="H44" s="363" t="s">
        <v>433</v>
      </c>
      <c r="I44" s="283" t="str">
        <f t="shared" si="0"/>
        <v>El Coordinador de comunicaciones ejecutar el cronograma de la estrategia de comunicaciones para el PTEP Esto se realiza de manera mensual
 Evidencia: Pieza gráfica o audiovisual diseñada.</v>
      </c>
      <c r="J44" s="206" t="s">
        <v>140</v>
      </c>
      <c r="K44" s="296">
        <f>+IFERROR(VLOOKUP($J44,'11 FORMULAS'!$B$51:$C$53,2,0),"")</f>
        <v>0.25</v>
      </c>
      <c r="L44" s="296" t="str">
        <f>+IFERROR(VLOOKUP($J44,'11 FORMULAS'!$B$51:$D$53,3,0),"")</f>
        <v>Probabilidad</v>
      </c>
      <c r="M44" s="351" t="s">
        <v>141</v>
      </c>
      <c r="N44" s="352">
        <f>+IFERROR(VLOOKUP($M44,'11 FORMULAS'!$B$54:$C$55,2,0),"")</f>
        <v>0.25</v>
      </c>
      <c r="O44" s="353" t="s">
        <v>153</v>
      </c>
      <c r="P44" s="353" t="s">
        <v>246</v>
      </c>
      <c r="Q44" s="353" t="s">
        <v>144</v>
      </c>
      <c r="R44" s="353" t="s">
        <v>254</v>
      </c>
      <c r="S44" s="296">
        <f t="shared" si="1"/>
        <v>0.5</v>
      </c>
      <c r="T44" s="296">
        <f>IF($L44='11 FORMULAS'!$D$51,$C$8-($C$8*$S$8),$C$8)</f>
        <v>0.36</v>
      </c>
      <c r="U44" s="296">
        <f>IF($L44='11 FORMULAS'!$D$53,$D$44-($D$44*$S$44),$D$44)</f>
        <v>0.2</v>
      </c>
      <c r="V44" s="532">
        <f>+IF(T49="","",T49)</f>
        <v>0.6</v>
      </c>
      <c r="W44" s="535">
        <f>+IF(U49="","",U49)</f>
        <v>0.2</v>
      </c>
      <c r="X44" s="37"/>
      <c r="Y44" s="292"/>
      <c r="Z44" s="293"/>
      <c r="AA44" s="293"/>
    </row>
    <row r="45" spans="1:27" ht="29.45" hidden="1" customHeight="1" thickBot="1" x14ac:dyDescent="0.3">
      <c r="A45" s="519"/>
      <c r="B45" s="523"/>
      <c r="C45" s="492"/>
      <c r="D45" s="495"/>
      <c r="E45" s="350">
        <v>2</v>
      </c>
      <c r="F45" s="325"/>
      <c r="G45" s="206"/>
      <c r="H45" s="206"/>
      <c r="I45" s="283" t="str">
        <f t="shared" si="0"/>
        <v xml:space="preserve">  </v>
      </c>
      <c r="J45" s="206"/>
      <c r="K45" s="296" t="str">
        <f>+IFERROR(VLOOKUP($J45,'11 FORMULAS'!$B$51:$C$53,2,0),"")</f>
        <v/>
      </c>
      <c r="L45" s="296" t="str">
        <f>+IFERROR(VLOOKUP($J45,'11 FORMULAS'!$B$51:$D$53,3,0),"")</f>
        <v/>
      </c>
      <c r="M45" s="351"/>
      <c r="N45" s="352" t="str">
        <f>+IFERROR(VLOOKUP($M45,'11 FORMULAS'!$B$54:$C$55,2,0),"")</f>
        <v/>
      </c>
      <c r="O45" s="353"/>
      <c r="P45" s="353"/>
      <c r="Q45" s="353"/>
      <c r="R45" s="353"/>
      <c r="S45" s="296" t="str">
        <f t="shared" si="1"/>
        <v/>
      </c>
      <c r="T45" s="296">
        <f>IF($L45='11 FORMULAS'!$D$51,$C$8-($C$8*$S$8),$C$8)</f>
        <v>0.6</v>
      </c>
      <c r="U45" s="296">
        <f>IF($L45='11 FORMULAS'!$D$53,$D$44-($D$44*$S$44),$D$44)</f>
        <v>0.2</v>
      </c>
      <c r="V45" s="533"/>
      <c r="W45" s="536"/>
      <c r="X45" s="37"/>
      <c r="Y45" s="292"/>
      <c r="Z45" s="293"/>
      <c r="AA45" s="293"/>
    </row>
    <row r="46" spans="1:27" ht="29.45" hidden="1" customHeight="1" thickBot="1" x14ac:dyDescent="0.3">
      <c r="A46" s="519"/>
      <c r="B46" s="523"/>
      <c r="C46" s="492"/>
      <c r="D46" s="495"/>
      <c r="E46" s="350">
        <v>3</v>
      </c>
      <c r="F46" s="325"/>
      <c r="G46" s="206"/>
      <c r="H46" s="206"/>
      <c r="I46" s="283" t="str">
        <f t="shared" si="0"/>
        <v xml:space="preserve">  </v>
      </c>
      <c r="J46" s="206"/>
      <c r="K46" s="296" t="str">
        <f>+IFERROR(VLOOKUP($J46,'11 FORMULAS'!$B$51:$C$53,2,0),"")</f>
        <v/>
      </c>
      <c r="L46" s="296" t="str">
        <f>+IFERROR(VLOOKUP($J46,'11 FORMULAS'!$B$51:$D$53,3,0),"")</f>
        <v/>
      </c>
      <c r="M46" s="351"/>
      <c r="N46" s="352" t="str">
        <f>+IFERROR(VLOOKUP($M46,'11 FORMULAS'!$B$54:$C$55,2,0),"")</f>
        <v/>
      </c>
      <c r="O46" s="353"/>
      <c r="P46" s="353"/>
      <c r="Q46" s="353"/>
      <c r="R46" s="353"/>
      <c r="S46" s="296" t="str">
        <f t="shared" si="1"/>
        <v/>
      </c>
      <c r="T46" s="296">
        <f>IF($L46='11 FORMULAS'!$D$51,$C$8-($C$8*$S$8),$C$8)</f>
        <v>0.6</v>
      </c>
      <c r="U46" s="296">
        <f>IF($L46='11 FORMULAS'!$D$53,$D$44-($D$44*$S$44),$D$44)</f>
        <v>0.2</v>
      </c>
      <c r="V46" s="533"/>
      <c r="W46" s="536"/>
      <c r="X46" s="37"/>
      <c r="Y46" s="292"/>
      <c r="Z46" s="293"/>
      <c r="AA46" s="293"/>
    </row>
    <row r="47" spans="1:27" ht="29.45" hidden="1" customHeight="1" thickBot="1" x14ac:dyDescent="0.3">
      <c r="A47" s="519"/>
      <c r="B47" s="523"/>
      <c r="C47" s="492"/>
      <c r="D47" s="495"/>
      <c r="E47" s="350">
        <v>4</v>
      </c>
      <c r="F47" s="325"/>
      <c r="G47" s="206"/>
      <c r="H47" s="206"/>
      <c r="I47" s="283" t="str">
        <f t="shared" si="0"/>
        <v xml:space="preserve">  </v>
      </c>
      <c r="J47" s="206"/>
      <c r="K47" s="296" t="str">
        <f>+IFERROR(VLOOKUP($J47,'11 FORMULAS'!$B$51:$C$53,2,0),"")</f>
        <v/>
      </c>
      <c r="L47" s="296" t="str">
        <f>+IFERROR(VLOOKUP($J47,'11 FORMULAS'!$B$51:$D$53,3,0),"")</f>
        <v/>
      </c>
      <c r="M47" s="351"/>
      <c r="N47" s="352" t="str">
        <f>+IFERROR(VLOOKUP($M47,'11 FORMULAS'!$B$54:$C$55,2,0),"")</f>
        <v/>
      </c>
      <c r="O47" s="353"/>
      <c r="P47" s="353"/>
      <c r="Q47" s="353"/>
      <c r="R47" s="353"/>
      <c r="S47" s="296" t="str">
        <f t="shared" si="1"/>
        <v/>
      </c>
      <c r="T47" s="296">
        <f>IF($L47='11 FORMULAS'!$D$51,$C$8-($C$8*$S$8),$C$8)</f>
        <v>0.6</v>
      </c>
      <c r="U47" s="296">
        <f>IF($L47='11 FORMULAS'!$D$53,$D$44-($D$44*$S$44),$D$44)</f>
        <v>0.2</v>
      </c>
      <c r="V47" s="533"/>
      <c r="W47" s="536"/>
      <c r="X47" s="37"/>
      <c r="Y47" s="292"/>
      <c r="Z47" s="293"/>
      <c r="AA47" s="293"/>
    </row>
    <row r="48" spans="1:27" ht="29.45" hidden="1" customHeight="1" thickBot="1" x14ac:dyDescent="0.3">
      <c r="A48" s="519"/>
      <c r="B48" s="523"/>
      <c r="C48" s="492"/>
      <c r="D48" s="495"/>
      <c r="E48" s="350">
        <v>5</v>
      </c>
      <c r="F48" s="325"/>
      <c r="G48" s="206"/>
      <c r="H48" s="206"/>
      <c r="I48" s="283" t="str">
        <f t="shared" si="0"/>
        <v xml:space="preserve">  </v>
      </c>
      <c r="J48" s="206"/>
      <c r="K48" s="296" t="str">
        <f>+IFERROR(VLOOKUP($J48,'11 FORMULAS'!$B$51:$C$53,2,0),"")</f>
        <v/>
      </c>
      <c r="L48" s="296" t="str">
        <f>+IFERROR(VLOOKUP($J48,'11 FORMULAS'!$B$51:$D$53,3,0),"")</f>
        <v/>
      </c>
      <c r="M48" s="351"/>
      <c r="N48" s="352" t="str">
        <f>+IFERROR(VLOOKUP($M48,'11 FORMULAS'!$B$54:$C$55,2,0),"")</f>
        <v/>
      </c>
      <c r="O48" s="353"/>
      <c r="P48" s="353"/>
      <c r="Q48" s="353"/>
      <c r="R48" s="353"/>
      <c r="S48" s="296" t="str">
        <f t="shared" si="1"/>
        <v/>
      </c>
      <c r="T48" s="296">
        <f>IF($L48='11 FORMULAS'!$D$51,$C$8-($C$8*$S$8),$C$8)</f>
        <v>0.6</v>
      </c>
      <c r="U48" s="296">
        <f>IF($L48='11 FORMULAS'!$D$53,$D$44-($D$44*$S$44),$D$44)</f>
        <v>0.2</v>
      </c>
      <c r="V48" s="533"/>
      <c r="W48" s="536"/>
      <c r="X48" s="37"/>
      <c r="Y48" s="292"/>
      <c r="Z48" s="293"/>
      <c r="AA48" s="293"/>
    </row>
    <row r="49" spans="1:27" ht="29.45" hidden="1" customHeight="1" thickBot="1" x14ac:dyDescent="0.3">
      <c r="A49" s="520"/>
      <c r="B49" s="524"/>
      <c r="C49" s="493"/>
      <c r="D49" s="496"/>
      <c r="E49" s="354">
        <v>6</v>
      </c>
      <c r="F49" s="328"/>
      <c r="G49" s="207"/>
      <c r="H49" s="207"/>
      <c r="I49" s="283" t="str">
        <f t="shared" si="0"/>
        <v xml:space="preserve">  </v>
      </c>
      <c r="J49" s="206"/>
      <c r="K49" s="296" t="str">
        <f>+IFERROR(VLOOKUP($J49,'11 FORMULAS'!$B$51:$C$53,2,0),"")</f>
        <v/>
      </c>
      <c r="L49" s="296" t="str">
        <f>+IFERROR(VLOOKUP($J49,'11 FORMULAS'!$B$51:$D$53,3,0),"")</f>
        <v/>
      </c>
      <c r="M49" s="351"/>
      <c r="N49" s="352" t="str">
        <f>+IFERROR(VLOOKUP($M49,'11 FORMULAS'!$B$54:$C$55,2,0),"")</f>
        <v/>
      </c>
      <c r="O49" s="353"/>
      <c r="P49" s="353"/>
      <c r="Q49" s="353"/>
      <c r="R49" s="353"/>
      <c r="S49" s="296" t="str">
        <f t="shared" si="1"/>
        <v/>
      </c>
      <c r="T49" s="296">
        <f>IF($L49='11 FORMULAS'!$D$51,$C$8-($C$8*$S$8),$C$8)</f>
        <v>0.6</v>
      </c>
      <c r="U49" s="296">
        <f>IF($L49='11 FORMULAS'!$D$53,$D$44-($D$44*$S$44),$D$44)</f>
        <v>0.2</v>
      </c>
      <c r="V49" s="534"/>
      <c r="W49" s="537"/>
      <c r="X49" s="37"/>
    </row>
    <row r="50" spans="1:27" ht="86.25" hidden="1" customHeight="1" thickBot="1" x14ac:dyDescent="0.3">
      <c r="C50" s="491" t="str">
        <f>+'3 PROBABIL E IMPACTO INHERENTE'!E16</f>
        <v/>
      </c>
      <c r="D50" s="494" t="str">
        <f>+'3 PROBABIL E IMPACTO INHERENTE'!M16</f>
        <v/>
      </c>
      <c r="E50" s="355">
        <v>1</v>
      </c>
      <c r="F50" s="326"/>
      <c r="G50" s="206"/>
      <c r="H50" s="206"/>
      <c r="I50" s="283" t="str">
        <f t="shared" si="0"/>
        <v xml:space="preserve">  </v>
      </c>
      <c r="J50" s="206"/>
      <c r="K50" s="296" t="str">
        <f>+IFERROR(VLOOKUP($J50,'11 FORMULAS'!$B$51:$C$53,2,0),"")</f>
        <v/>
      </c>
      <c r="L50" s="296" t="str">
        <f>+IFERROR(VLOOKUP($J50,'11 FORMULAS'!$B$51:$D$53,3,0),"")</f>
        <v/>
      </c>
      <c r="M50" s="351"/>
      <c r="N50" s="352" t="str">
        <f>+IFERROR(VLOOKUP($M50,'11 FORMULAS'!$B$54:$C$55,2,0),"")</f>
        <v/>
      </c>
      <c r="O50" s="353"/>
      <c r="P50" s="353"/>
      <c r="Q50" s="353"/>
      <c r="R50" s="353"/>
      <c r="S50" s="296" t="str">
        <f t="shared" si="1"/>
        <v/>
      </c>
      <c r="T50" s="296">
        <f>IF($L50='11 FORMULAS'!$D$51,$C$8-($C$8*$S$8),$C$8)</f>
        <v>0.6</v>
      </c>
      <c r="U50" s="296" t="str">
        <f>IF($L50='11 FORMULAS'!$D$53,$D$50-($D$50*$S$50),$D$50)</f>
        <v/>
      </c>
      <c r="V50" s="532">
        <f>+IF(T55="","",T55)</f>
        <v>0.6</v>
      </c>
      <c r="W50" s="535" t="str">
        <f>+IF(U55="","",U55)</f>
        <v/>
      </c>
      <c r="X50" s="37"/>
      <c r="Y50" s="292"/>
      <c r="Z50" s="293"/>
      <c r="AA50" s="293"/>
    </row>
    <row r="51" spans="1:27" ht="29.45" hidden="1" customHeight="1" thickBot="1" x14ac:dyDescent="0.3">
      <c r="C51" s="492"/>
      <c r="D51" s="495"/>
      <c r="E51" s="350">
        <v>2</v>
      </c>
      <c r="F51" s="325"/>
      <c r="G51" s="206"/>
      <c r="H51" s="206"/>
      <c r="I51" s="283" t="str">
        <f t="shared" si="0"/>
        <v xml:space="preserve">  </v>
      </c>
      <c r="J51" s="206"/>
      <c r="K51" s="296" t="str">
        <f>+IFERROR(VLOOKUP($J51,'11 FORMULAS'!$B$51:$C$53,2,0),"")</f>
        <v/>
      </c>
      <c r="L51" s="296" t="str">
        <f>+IFERROR(VLOOKUP($J51,'11 FORMULAS'!$B$51:$D$53,3,0),"")</f>
        <v/>
      </c>
      <c r="M51" s="351"/>
      <c r="N51" s="352" t="str">
        <f>+IFERROR(VLOOKUP($M51,'11 FORMULAS'!$B$54:$C$55,2,0),"")</f>
        <v/>
      </c>
      <c r="O51" s="353"/>
      <c r="P51" s="353"/>
      <c r="Q51" s="353"/>
      <c r="R51" s="353"/>
      <c r="S51" s="296" t="str">
        <f t="shared" si="1"/>
        <v/>
      </c>
      <c r="T51" s="296">
        <f>IF($L51='11 FORMULAS'!$D$51,$C$8-($C$8*$S$8),$C$8)</f>
        <v>0.6</v>
      </c>
      <c r="U51" s="296" t="str">
        <f>IF($L51='11 FORMULAS'!$D$53,$D$50-($D$50*$S$50),$D$50)</f>
        <v/>
      </c>
      <c r="V51" s="533"/>
      <c r="W51" s="536"/>
      <c r="X51" s="37"/>
      <c r="Y51" s="292"/>
      <c r="Z51" s="293"/>
      <c r="AA51" s="293"/>
    </row>
    <row r="52" spans="1:27" ht="29.45" hidden="1" customHeight="1" thickBot="1" x14ac:dyDescent="0.3">
      <c r="C52" s="492"/>
      <c r="D52" s="495"/>
      <c r="E52" s="350">
        <v>3</v>
      </c>
      <c r="F52" s="325"/>
      <c r="G52" s="206"/>
      <c r="H52" s="206"/>
      <c r="I52" s="283" t="str">
        <f t="shared" si="0"/>
        <v xml:space="preserve">  </v>
      </c>
      <c r="J52" s="206"/>
      <c r="K52" s="296" t="str">
        <f>+IFERROR(VLOOKUP($J52,'11 FORMULAS'!$B$51:$C$53,2,0),"")</f>
        <v/>
      </c>
      <c r="L52" s="296" t="str">
        <f>+IFERROR(VLOOKUP($J52,'11 FORMULAS'!$B$51:$D$53,3,0),"")</f>
        <v/>
      </c>
      <c r="M52" s="351"/>
      <c r="N52" s="352" t="str">
        <f>+IFERROR(VLOOKUP($M52,'11 FORMULAS'!$B$54:$C$55,2,0),"")</f>
        <v/>
      </c>
      <c r="O52" s="353"/>
      <c r="P52" s="353"/>
      <c r="Q52" s="353"/>
      <c r="R52" s="353"/>
      <c r="S52" s="296" t="str">
        <f t="shared" si="1"/>
        <v/>
      </c>
      <c r="T52" s="296">
        <f>IF($L52='11 FORMULAS'!$D$51,$C$8-($C$8*$S$8),$C$8)</f>
        <v>0.6</v>
      </c>
      <c r="U52" s="296" t="str">
        <f>IF($L52='11 FORMULAS'!$D$53,$D$50-($D$50*$S$50),$D$50)</f>
        <v/>
      </c>
      <c r="V52" s="533"/>
      <c r="W52" s="536"/>
      <c r="X52" s="37"/>
      <c r="Y52" s="292"/>
      <c r="Z52" s="293"/>
      <c r="AA52" s="293"/>
    </row>
    <row r="53" spans="1:27" ht="29.45" hidden="1" customHeight="1" thickBot="1" x14ac:dyDescent="0.3">
      <c r="C53" s="492"/>
      <c r="D53" s="495"/>
      <c r="E53" s="350">
        <v>4</v>
      </c>
      <c r="F53" s="325"/>
      <c r="G53" s="206"/>
      <c r="H53" s="206"/>
      <c r="I53" s="283" t="str">
        <f t="shared" si="0"/>
        <v xml:space="preserve">  </v>
      </c>
      <c r="J53" s="206"/>
      <c r="K53" s="296" t="str">
        <f>+IFERROR(VLOOKUP($J53,'11 FORMULAS'!$B$51:$C$53,2,0),"")</f>
        <v/>
      </c>
      <c r="L53" s="296" t="str">
        <f>+IFERROR(VLOOKUP($J53,'11 FORMULAS'!$B$51:$D$53,3,0),"")</f>
        <v/>
      </c>
      <c r="M53" s="351"/>
      <c r="N53" s="352" t="str">
        <f>+IFERROR(VLOOKUP($M53,'11 FORMULAS'!$B$54:$C$55,2,0),"")</f>
        <v/>
      </c>
      <c r="O53" s="353"/>
      <c r="P53" s="353"/>
      <c r="Q53" s="353"/>
      <c r="R53" s="353"/>
      <c r="S53" s="296" t="str">
        <f t="shared" si="1"/>
        <v/>
      </c>
      <c r="T53" s="296">
        <f>IF($L53='11 FORMULAS'!$D$51,$C$8-($C$8*$S$8),$C$8)</f>
        <v>0.6</v>
      </c>
      <c r="U53" s="296" t="str">
        <f>IF($L53='11 FORMULAS'!$D$53,$D$50-($D$50*$S$50),$D$50)</f>
        <v/>
      </c>
      <c r="V53" s="533"/>
      <c r="W53" s="536"/>
      <c r="X53" s="37"/>
      <c r="Y53" s="292"/>
      <c r="Z53" s="293"/>
      <c r="AA53" s="293"/>
    </row>
    <row r="54" spans="1:27" ht="29.45" hidden="1" customHeight="1" thickBot="1" x14ac:dyDescent="0.3">
      <c r="C54" s="492"/>
      <c r="D54" s="495"/>
      <c r="E54" s="350">
        <v>5</v>
      </c>
      <c r="F54" s="325"/>
      <c r="G54" s="206"/>
      <c r="H54" s="206"/>
      <c r="I54" s="283" t="str">
        <f t="shared" si="0"/>
        <v xml:space="preserve">  </v>
      </c>
      <c r="J54" s="206"/>
      <c r="K54" s="296" t="str">
        <f>+IFERROR(VLOOKUP($J54,'11 FORMULAS'!$B$51:$C$53,2,0),"")</f>
        <v/>
      </c>
      <c r="L54" s="296" t="str">
        <f>+IFERROR(VLOOKUP($J54,'11 FORMULAS'!$B$51:$D$53,3,0),"")</f>
        <v/>
      </c>
      <c r="M54" s="351"/>
      <c r="N54" s="352" t="str">
        <f>+IFERROR(VLOOKUP($M54,'11 FORMULAS'!$B$54:$C$55,2,0),"")</f>
        <v/>
      </c>
      <c r="O54" s="353"/>
      <c r="P54" s="353"/>
      <c r="Q54" s="353"/>
      <c r="R54" s="353"/>
      <c r="S54" s="296" t="str">
        <f t="shared" si="1"/>
        <v/>
      </c>
      <c r="T54" s="296">
        <f>IF($L54='11 FORMULAS'!$D$51,$C$8-($C$8*$S$8),$C$8)</f>
        <v>0.6</v>
      </c>
      <c r="U54" s="296" t="str">
        <f>IF($L54='11 FORMULAS'!$D$53,$D$50-($D$50*$S$50),$D$50)</f>
        <v/>
      </c>
      <c r="V54" s="533"/>
      <c r="W54" s="536"/>
      <c r="X54" s="37"/>
      <c r="Y54" s="292"/>
      <c r="Z54" s="293"/>
      <c r="AA54" s="293"/>
    </row>
    <row r="55" spans="1:27" ht="29.45" hidden="1" customHeight="1" thickBot="1" x14ac:dyDescent="0.3">
      <c r="C55" s="493"/>
      <c r="D55" s="496"/>
      <c r="E55" s="354">
        <v>6</v>
      </c>
      <c r="F55" s="328"/>
      <c r="G55" s="207"/>
      <c r="H55" s="207"/>
      <c r="I55" s="283" t="str">
        <f t="shared" si="0"/>
        <v xml:space="preserve">  </v>
      </c>
      <c r="J55" s="206"/>
      <c r="K55" s="296" t="str">
        <f>+IFERROR(VLOOKUP($J55,'11 FORMULAS'!$B$51:$C$53,2,0),"")</f>
        <v/>
      </c>
      <c r="L55" s="296" t="str">
        <f>+IFERROR(VLOOKUP($J55,'11 FORMULAS'!$B$51:$D$53,3,0),"")</f>
        <v/>
      </c>
      <c r="M55" s="351"/>
      <c r="N55" s="352" t="str">
        <f>+IFERROR(VLOOKUP($M55,'11 FORMULAS'!$B$54:$C$55,2,0),"")</f>
        <v/>
      </c>
      <c r="O55" s="353"/>
      <c r="P55" s="353"/>
      <c r="Q55" s="353"/>
      <c r="R55" s="353"/>
      <c r="S55" s="296" t="str">
        <f t="shared" si="1"/>
        <v/>
      </c>
      <c r="T55" s="296">
        <f>IF($L55='11 FORMULAS'!$D$51,$C$8-($C$8*$S$8),$C$8)</f>
        <v>0.6</v>
      </c>
      <c r="U55" s="296" t="str">
        <f>IF($L55='11 FORMULAS'!$D$53,$D$50-($D$50*$S$50),$D$50)</f>
        <v/>
      </c>
      <c r="V55" s="534"/>
      <c r="W55" s="537"/>
      <c r="X55" s="37"/>
    </row>
    <row r="56" spans="1:27" ht="29.45" hidden="1" customHeight="1" thickBot="1" x14ac:dyDescent="0.3">
      <c r="A56" s="517"/>
      <c r="B56" s="521" t="str">
        <f>+'2 CONTEXTO E IDENTIFICACIÓN'!J21</f>
        <v xml:space="preserve"> por a causa de </v>
      </c>
      <c r="C56" s="491" t="str">
        <f>+'3 PROBABIL E IMPACTO INHERENTE'!E17</f>
        <v/>
      </c>
      <c r="D56" s="494" t="str">
        <f>+'3 PROBABIL E IMPACTO INHERENTE'!M17</f>
        <v/>
      </c>
      <c r="E56" s="355">
        <v>1</v>
      </c>
      <c r="F56" s="326"/>
      <c r="G56" s="51"/>
      <c r="H56" s="51"/>
      <c r="I56" s="283" t="str">
        <f t="shared" si="0"/>
        <v xml:space="preserve">  </v>
      </c>
      <c r="J56" s="206"/>
      <c r="K56" s="296" t="str">
        <f>+IFERROR(VLOOKUP($J56,'11 FORMULAS'!$B$51:$C$53,2,0),"")</f>
        <v/>
      </c>
      <c r="L56" s="296" t="str">
        <f>+IFERROR(VLOOKUP($J56,'11 FORMULAS'!$B$51:$D$53,3,0),"")</f>
        <v/>
      </c>
      <c r="M56" s="351"/>
      <c r="N56" s="352" t="str">
        <f>+IFERROR(VLOOKUP($M56,'11 FORMULAS'!$B$54:$C$55,2,0),"")</f>
        <v/>
      </c>
      <c r="O56" s="353"/>
      <c r="P56" s="353"/>
      <c r="Q56" s="353"/>
      <c r="R56" s="353"/>
      <c r="S56" s="296" t="str">
        <f t="shared" si="1"/>
        <v/>
      </c>
      <c r="T56" s="296">
        <f>IF($L56='11 FORMULAS'!$D$51,$C$8-($C$8*$S$8),$C$8)</f>
        <v>0.6</v>
      </c>
      <c r="U56" s="296" t="str">
        <f>IF($L56='11 FORMULAS'!$D$53,$D$56-($D$56*$S$56),$D$56)</f>
        <v/>
      </c>
      <c r="V56" s="532">
        <f>+IF(T61="","",T61)</f>
        <v>0.6</v>
      </c>
      <c r="W56" s="535" t="str">
        <f>+IF(U61="","",U61)</f>
        <v/>
      </c>
      <c r="X56" s="37"/>
      <c r="Y56" s="292"/>
      <c r="Z56" s="293"/>
      <c r="AA56" s="293"/>
    </row>
    <row r="57" spans="1:27" ht="29.45" hidden="1" customHeight="1" thickBot="1" x14ac:dyDescent="0.3">
      <c r="A57" s="518"/>
      <c r="B57" s="523"/>
      <c r="C57" s="492"/>
      <c r="D57" s="495"/>
      <c r="E57" s="350">
        <v>2</v>
      </c>
      <c r="F57" s="325"/>
      <c r="G57" s="206"/>
      <c r="H57" s="206"/>
      <c r="I57" s="283" t="str">
        <f t="shared" si="0"/>
        <v xml:space="preserve">  </v>
      </c>
      <c r="J57" s="206"/>
      <c r="K57" s="296" t="str">
        <f>+IFERROR(VLOOKUP($J57,'11 FORMULAS'!$B$51:$C$53,2,0),"")</f>
        <v/>
      </c>
      <c r="L57" s="296" t="str">
        <f>+IFERROR(VLOOKUP($J57,'11 FORMULAS'!$B$51:$D$53,3,0),"")</f>
        <v/>
      </c>
      <c r="M57" s="351"/>
      <c r="N57" s="352" t="str">
        <f>+IFERROR(VLOOKUP($M57,'11 FORMULAS'!$B$54:$C$55,2,0),"")</f>
        <v/>
      </c>
      <c r="O57" s="353"/>
      <c r="P57" s="353"/>
      <c r="Q57" s="353"/>
      <c r="R57" s="353"/>
      <c r="S57" s="296" t="str">
        <f t="shared" si="1"/>
        <v/>
      </c>
      <c r="T57" s="296">
        <f>IF($L57='11 FORMULAS'!$D$51,$C$8-($C$8*$S$8),$C$8)</f>
        <v>0.6</v>
      </c>
      <c r="U57" s="296" t="str">
        <f>IF($L57='11 FORMULAS'!$D$53,$D$56-($D$56*$S$56),$D$56)</f>
        <v/>
      </c>
      <c r="V57" s="533"/>
      <c r="W57" s="536"/>
      <c r="X57" s="37"/>
      <c r="Y57" s="292"/>
      <c r="Z57" s="293"/>
      <c r="AA57" s="293"/>
    </row>
    <row r="58" spans="1:27" ht="29.45" hidden="1" customHeight="1" thickBot="1" x14ac:dyDescent="0.3">
      <c r="A58" s="518"/>
      <c r="B58" s="523"/>
      <c r="C58" s="492"/>
      <c r="D58" s="495"/>
      <c r="E58" s="350">
        <v>3</v>
      </c>
      <c r="F58" s="325"/>
      <c r="G58" s="206"/>
      <c r="H58" s="206"/>
      <c r="I58" s="283" t="str">
        <f t="shared" si="0"/>
        <v xml:space="preserve">  </v>
      </c>
      <c r="J58" s="206"/>
      <c r="K58" s="296" t="str">
        <f>+IFERROR(VLOOKUP($J58,'11 FORMULAS'!$B$51:$C$53,2,0),"")</f>
        <v/>
      </c>
      <c r="L58" s="296" t="str">
        <f>+IFERROR(VLOOKUP($J58,'11 FORMULAS'!$B$51:$D$53,3,0),"")</f>
        <v/>
      </c>
      <c r="M58" s="351"/>
      <c r="N58" s="352" t="str">
        <f>+IFERROR(VLOOKUP($M58,'11 FORMULAS'!$B$54:$C$55,2,0),"")</f>
        <v/>
      </c>
      <c r="O58" s="353"/>
      <c r="P58" s="353"/>
      <c r="Q58" s="353"/>
      <c r="R58" s="353"/>
      <c r="S58" s="296" t="str">
        <f t="shared" si="1"/>
        <v/>
      </c>
      <c r="T58" s="296">
        <f>IF($L58='11 FORMULAS'!$D$51,$C$8-($C$8*$S$8),$C$8)</f>
        <v>0.6</v>
      </c>
      <c r="U58" s="296" t="str">
        <f>IF($L58='11 FORMULAS'!$D$53,$D$56-($D$56*$S$56),$D$56)</f>
        <v/>
      </c>
      <c r="V58" s="533"/>
      <c r="W58" s="536"/>
      <c r="X58" s="37"/>
      <c r="Y58" s="292"/>
      <c r="Z58" s="293"/>
      <c r="AA58" s="293"/>
    </row>
    <row r="59" spans="1:27" ht="29.45" hidden="1" customHeight="1" thickBot="1" x14ac:dyDescent="0.3">
      <c r="A59" s="519"/>
      <c r="B59" s="523"/>
      <c r="C59" s="492"/>
      <c r="D59" s="495"/>
      <c r="E59" s="350">
        <v>4</v>
      </c>
      <c r="F59" s="325"/>
      <c r="G59" s="206"/>
      <c r="H59" s="206"/>
      <c r="I59" s="283" t="str">
        <f t="shared" si="0"/>
        <v xml:space="preserve">  </v>
      </c>
      <c r="J59" s="206"/>
      <c r="K59" s="296" t="str">
        <f>+IFERROR(VLOOKUP($J59,'11 FORMULAS'!$B$51:$C$53,2,0),"")</f>
        <v/>
      </c>
      <c r="L59" s="296" t="str">
        <f>+IFERROR(VLOOKUP($J59,'11 FORMULAS'!$B$51:$D$53,3,0),"")</f>
        <v/>
      </c>
      <c r="M59" s="351"/>
      <c r="N59" s="352" t="str">
        <f>+IFERROR(VLOOKUP($M59,'11 FORMULAS'!$B$54:$C$55,2,0),"")</f>
        <v/>
      </c>
      <c r="O59" s="353"/>
      <c r="P59" s="353"/>
      <c r="Q59" s="353"/>
      <c r="R59" s="353"/>
      <c r="S59" s="296" t="str">
        <f t="shared" si="1"/>
        <v/>
      </c>
      <c r="T59" s="296">
        <f>IF($L59='11 FORMULAS'!$D$51,$C$8-($C$8*$S$8),$C$8)</f>
        <v>0.6</v>
      </c>
      <c r="U59" s="296" t="str">
        <f>IF($L59='11 FORMULAS'!$D$53,$D$56-($D$56*$S$56),$D$56)</f>
        <v/>
      </c>
      <c r="V59" s="533"/>
      <c r="W59" s="536"/>
      <c r="X59" s="37"/>
      <c r="Y59" s="292"/>
      <c r="Z59" s="293"/>
      <c r="AA59" s="293"/>
    </row>
    <row r="60" spans="1:27" ht="29.45" hidden="1" customHeight="1" thickBot="1" x14ac:dyDescent="0.3">
      <c r="A60" s="519"/>
      <c r="B60" s="523"/>
      <c r="C60" s="492"/>
      <c r="D60" s="495"/>
      <c r="E60" s="350">
        <v>5</v>
      </c>
      <c r="F60" s="325"/>
      <c r="G60" s="206"/>
      <c r="H60" s="206"/>
      <c r="I60" s="283" t="str">
        <f t="shared" si="0"/>
        <v xml:space="preserve">  </v>
      </c>
      <c r="J60" s="206"/>
      <c r="K60" s="296" t="str">
        <f>+IFERROR(VLOOKUP($J60,'11 FORMULAS'!$B$51:$C$53,2,0),"")</f>
        <v/>
      </c>
      <c r="L60" s="296" t="str">
        <f>+IFERROR(VLOOKUP($J60,'11 FORMULAS'!$B$51:$D$53,3,0),"")</f>
        <v/>
      </c>
      <c r="M60" s="351"/>
      <c r="N60" s="352" t="str">
        <f>+IFERROR(VLOOKUP($M60,'11 FORMULAS'!$B$54:$C$55,2,0),"")</f>
        <v/>
      </c>
      <c r="O60" s="353"/>
      <c r="P60" s="353"/>
      <c r="Q60" s="353"/>
      <c r="R60" s="353"/>
      <c r="S60" s="296" t="str">
        <f t="shared" si="1"/>
        <v/>
      </c>
      <c r="T60" s="296">
        <f>IF($L60='11 FORMULAS'!$D$51,$C$8-($C$8*$S$8),$C$8)</f>
        <v>0.6</v>
      </c>
      <c r="U60" s="296" t="str">
        <f>IF($L60='11 FORMULAS'!$D$53,$D$56-($D$56*$S$56),$D$56)</f>
        <v/>
      </c>
      <c r="V60" s="533"/>
      <c r="W60" s="536"/>
      <c r="X60" s="37"/>
      <c r="Y60" s="292"/>
      <c r="Z60" s="293"/>
      <c r="AA60" s="293"/>
    </row>
    <row r="61" spans="1:27" ht="29.45" hidden="1" customHeight="1" thickBot="1" x14ac:dyDescent="0.3">
      <c r="A61" s="520"/>
      <c r="B61" s="524"/>
      <c r="C61" s="493"/>
      <c r="D61" s="496"/>
      <c r="E61" s="354">
        <v>6</v>
      </c>
      <c r="F61" s="328"/>
      <c r="G61" s="207"/>
      <c r="H61" s="207"/>
      <c r="I61" s="283" t="str">
        <f t="shared" si="0"/>
        <v xml:space="preserve">  </v>
      </c>
      <c r="J61" s="206"/>
      <c r="K61" s="296" t="str">
        <f>+IFERROR(VLOOKUP($J61,'11 FORMULAS'!$B$51:$C$53,2,0),"")</f>
        <v/>
      </c>
      <c r="L61" s="296" t="str">
        <f>+IFERROR(VLOOKUP($J61,'11 FORMULAS'!$B$51:$D$53,3,0),"")</f>
        <v/>
      </c>
      <c r="M61" s="351"/>
      <c r="N61" s="352" t="str">
        <f>+IFERROR(VLOOKUP($M61,'11 FORMULAS'!$B$54:$C$55,2,0),"")</f>
        <v/>
      </c>
      <c r="O61" s="353"/>
      <c r="P61" s="353"/>
      <c r="Q61" s="353"/>
      <c r="R61" s="353"/>
      <c r="S61" s="296" t="str">
        <f t="shared" si="1"/>
        <v/>
      </c>
      <c r="T61" s="296">
        <f>IF($L61='11 FORMULAS'!$D$51,$C$8-($C$8*$S$8),$C$8)</f>
        <v>0.6</v>
      </c>
      <c r="U61" s="296" t="str">
        <f>IF($L61='11 FORMULAS'!$D$53,$D$56-($D$56*$S$56),$D$56)</f>
        <v/>
      </c>
      <c r="V61" s="534"/>
      <c r="W61" s="537"/>
      <c r="X61" s="37"/>
    </row>
    <row r="62" spans="1:27" ht="29.45" hidden="1" customHeight="1" thickBot="1" x14ac:dyDescent="0.3">
      <c r="A62" s="517"/>
      <c r="B62" s="521">
        <f>+'2 CONTEXTO E IDENTIFICACIÓN'!J27</f>
        <v>0</v>
      </c>
      <c r="C62" s="491" t="str">
        <f>+'3 PROBABIL E IMPACTO INHERENTE'!E18</f>
        <v/>
      </c>
      <c r="D62" s="494" t="str">
        <f>+'3 PROBABIL E IMPACTO INHERENTE'!M18</f>
        <v/>
      </c>
      <c r="E62" s="355">
        <v>1</v>
      </c>
      <c r="F62" s="326"/>
      <c r="G62" s="51"/>
      <c r="H62" s="51"/>
      <c r="I62" s="283" t="str">
        <f t="shared" si="0"/>
        <v xml:space="preserve">  </v>
      </c>
      <c r="J62" s="206"/>
      <c r="K62" s="296" t="str">
        <f>+IFERROR(VLOOKUP($J62,'11 FORMULAS'!$B$51:$C$53,2,0),"")</f>
        <v/>
      </c>
      <c r="L62" s="296" t="str">
        <f>+IFERROR(VLOOKUP($J62,'11 FORMULAS'!$B$51:$D$53,3,0),"")</f>
        <v/>
      </c>
      <c r="M62" s="351"/>
      <c r="N62" s="352" t="str">
        <f>+IFERROR(VLOOKUP($M62,'11 FORMULAS'!$B$54:$C$55,2,0),"")</f>
        <v/>
      </c>
      <c r="O62" s="353"/>
      <c r="P62" s="353"/>
      <c r="Q62" s="353"/>
      <c r="R62" s="353"/>
      <c r="S62" s="296" t="str">
        <f t="shared" si="1"/>
        <v/>
      </c>
      <c r="T62" s="296">
        <f>IF($L62='11 FORMULAS'!$D$51,$C$8-($C$8*$S$8),$C$8)</f>
        <v>0.6</v>
      </c>
      <c r="U62" s="296" t="str">
        <f>IF($L62='11 FORMULAS'!$D$53,$D$62-($D$62*$S$62),$D$62)</f>
        <v/>
      </c>
      <c r="V62" s="532">
        <f>+IF(T67="","",T67)</f>
        <v>0.6</v>
      </c>
      <c r="W62" s="535" t="str">
        <f>+IF(U67="","",U67)</f>
        <v/>
      </c>
      <c r="X62" s="37"/>
      <c r="Y62" s="292"/>
      <c r="Z62" s="293"/>
      <c r="AA62" s="293"/>
    </row>
    <row r="63" spans="1:27" ht="29.45" hidden="1" customHeight="1" thickBot="1" x14ac:dyDescent="0.3">
      <c r="A63" s="518"/>
      <c r="B63" s="523"/>
      <c r="C63" s="492"/>
      <c r="D63" s="495"/>
      <c r="E63" s="350">
        <v>2</v>
      </c>
      <c r="F63" s="325"/>
      <c r="G63" s="206"/>
      <c r="H63" s="206"/>
      <c r="I63" s="283" t="str">
        <f t="shared" si="0"/>
        <v xml:space="preserve">  </v>
      </c>
      <c r="J63" s="206"/>
      <c r="K63" s="296" t="str">
        <f>+IFERROR(VLOOKUP($J63,'11 FORMULAS'!$B$51:$C$53,2,0),"")</f>
        <v/>
      </c>
      <c r="L63" s="296" t="str">
        <f>+IFERROR(VLOOKUP($J63,'11 FORMULAS'!$B$51:$D$53,3,0),"")</f>
        <v/>
      </c>
      <c r="M63" s="351"/>
      <c r="N63" s="352" t="str">
        <f>+IFERROR(VLOOKUP($M63,'11 FORMULAS'!$B$54:$C$55,2,0),"")</f>
        <v/>
      </c>
      <c r="O63" s="353"/>
      <c r="P63" s="353"/>
      <c r="Q63" s="353"/>
      <c r="R63" s="353"/>
      <c r="S63" s="296" t="str">
        <f t="shared" si="1"/>
        <v/>
      </c>
      <c r="T63" s="296">
        <f>IF($L63='11 FORMULAS'!$D$51,$C$8-($C$8*$S$8),$C$8)</f>
        <v>0.6</v>
      </c>
      <c r="U63" s="296" t="str">
        <f>IF($L63='11 FORMULAS'!$D$53,$D$62-($D$62*$S$62),$D$62)</f>
        <v/>
      </c>
      <c r="V63" s="533"/>
      <c r="W63" s="536"/>
      <c r="X63" s="37"/>
      <c r="Y63" s="292"/>
      <c r="Z63" s="293"/>
      <c r="AA63" s="293"/>
    </row>
    <row r="64" spans="1:27" ht="29.45" hidden="1" customHeight="1" thickBot="1" x14ac:dyDescent="0.3">
      <c r="A64" s="518"/>
      <c r="B64" s="523"/>
      <c r="C64" s="492"/>
      <c r="D64" s="495"/>
      <c r="E64" s="350">
        <v>3</v>
      </c>
      <c r="F64" s="325"/>
      <c r="G64" s="206"/>
      <c r="H64" s="206"/>
      <c r="I64" s="283" t="str">
        <f t="shared" si="0"/>
        <v xml:space="preserve">  </v>
      </c>
      <c r="J64" s="206"/>
      <c r="K64" s="296" t="str">
        <f>+IFERROR(VLOOKUP($J64,'11 FORMULAS'!$B$51:$C$53,2,0),"")</f>
        <v/>
      </c>
      <c r="L64" s="296" t="str">
        <f>+IFERROR(VLOOKUP($J64,'11 FORMULAS'!$B$51:$D$53,3,0),"")</f>
        <v/>
      </c>
      <c r="M64" s="351"/>
      <c r="N64" s="352" t="str">
        <f>+IFERROR(VLOOKUP($M64,'11 FORMULAS'!$B$54:$C$55,2,0),"")</f>
        <v/>
      </c>
      <c r="O64" s="353"/>
      <c r="P64" s="353"/>
      <c r="Q64" s="353"/>
      <c r="R64" s="353"/>
      <c r="S64" s="296" t="str">
        <f t="shared" si="1"/>
        <v/>
      </c>
      <c r="T64" s="296">
        <f>IF($L64='11 FORMULAS'!$D$51,$C$8-($C$8*$S$8),$C$8)</f>
        <v>0.6</v>
      </c>
      <c r="U64" s="296" t="str">
        <f>IF($L64='11 FORMULAS'!$D$53,$D$62-($D$62*$S$62),$D$62)</f>
        <v/>
      </c>
      <c r="V64" s="533"/>
      <c r="W64" s="536"/>
      <c r="X64" s="37"/>
      <c r="Y64" s="292"/>
      <c r="Z64" s="293"/>
      <c r="AA64" s="293"/>
    </row>
    <row r="65" spans="1:27" ht="29.45" hidden="1" customHeight="1" thickBot="1" x14ac:dyDescent="0.3">
      <c r="A65" s="519"/>
      <c r="B65" s="523"/>
      <c r="C65" s="492"/>
      <c r="D65" s="495"/>
      <c r="E65" s="350">
        <v>4</v>
      </c>
      <c r="F65" s="325"/>
      <c r="G65" s="206"/>
      <c r="H65" s="206"/>
      <c r="I65" s="283" t="str">
        <f t="shared" si="0"/>
        <v xml:space="preserve">  </v>
      </c>
      <c r="J65" s="206"/>
      <c r="K65" s="296" t="str">
        <f>+IFERROR(VLOOKUP($J65,'11 FORMULAS'!$B$51:$C$53,2,0),"")</f>
        <v/>
      </c>
      <c r="L65" s="296" t="str">
        <f>+IFERROR(VLOOKUP($J65,'11 FORMULAS'!$B$51:$D$53,3,0),"")</f>
        <v/>
      </c>
      <c r="M65" s="351"/>
      <c r="N65" s="352" t="str">
        <f>+IFERROR(VLOOKUP($M65,'11 FORMULAS'!$B$54:$C$55,2,0),"")</f>
        <v/>
      </c>
      <c r="O65" s="353"/>
      <c r="P65" s="353"/>
      <c r="Q65" s="353"/>
      <c r="R65" s="353"/>
      <c r="S65" s="296" t="str">
        <f t="shared" si="1"/>
        <v/>
      </c>
      <c r="T65" s="296">
        <f>IF($L65='11 FORMULAS'!$D$51,$C$8-($C$8*$S$8),$C$8)</f>
        <v>0.6</v>
      </c>
      <c r="U65" s="296" t="str">
        <f>IF($L65='11 FORMULAS'!$D$53,$D$62-($D$62*$S$62),$D$62)</f>
        <v/>
      </c>
      <c r="V65" s="533"/>
      <c r="W65" s="536"/>
      <c r="X65" s="37"/>
      <c r="Y65" s="292"/>
      <c r="Z65" s="293"/>
      <c r="AA65" s="293"/>
    </row>
    <row r="66" spans="1:27" ht="29.45" hidden="1" customHeight="1" thickBot="1" x14ac:dyDescent="0.3">
      <c r="A66" s="519"/>
      <c r="B66" s="523"/>
      <c r="C66" s="492"/>
      <c r="D66" s="495"/>
      <c r="E66" s="350">
        <v>5</v>
      </c>
      <c r="F66" s="325"/>
      <c r="G66" s="206"/>
      <c r="H66" s="206"/>
      <c r="I66" s="283" t="str">
        <f t="shared" si="0"/>
        <v xml:space="preserve">  </v>
      </c>
      <c r="J66" s="206"/>
      <c r="K66" s="296" t="str">
        <f>+IFERROR(VLOOKUP($J66,'11 FORMULAS'!$B$51:$C$53,2,0),"")</f>
        <v/>
      </c>
      <c r="L66" s="296" t="str">
        <f>+IFERROR(VLOOKUP($J66,'11 FORMULAS'!$B$51:$D$53,3,0),"")</f>
        <v/>
      </c>
      <c r="M66" s="351"/>
      <c r="N66" s="352" t="str">
        <f>+IFERROR(VLOOKUP($M66,'11 FORMULAS'!$B$54:$C$55,2,0),"")</f>
        <v/>
      </c>
      <c r="O66" s="353"/>
      <c r="P66" s="353"/>
      <c r="Q66" s="353"/>
      <c r="R66" s="353"/>
      <c r="S66" s="296" t="str">
        <f t="shared" si="1"/>
        <v/>
      </c>
      <c r="T66" s="296">
        <f>IF($L66='11 FORMULAS'!$D$51,$C$8-($C$8*$S$8),$C$8)</f>
        <v>0.6</v>
      </c>
      <c r="U66" s="296" t="str">
        <f>IF($L66='11 FORMULAS'!$D$53,$D$62-($D$62*$S$62),$D$62)</f>
        <v/>
      </c>
      <c r="V66" s="533"/>
      <c r="W66" s="536"/>
      <c r="X66" s="37"/>
      <c r="Y66" s="292"/>
      <c r="Z66" s="293"/>
      <c r="AA66" s="293"/>
    </row>
    <row r="67" spans="1:27" ht="29.45" hidden="1" customHeight="1" thickBot="1" x14ac:dyDescent="0.3">
      <c r="A67" s="520"/>
      <c r="B67" s="524"/>
      <c r="C67" s="493"/>
      <c r="D67" s="496"/>
      <c r="E67" s="354">
        <v>6</v>
      </c>
      <c r="F67" s="328"/>
      <c r="G67" s="207"/>
      <c r="H67" s="207"/>
      <c r="I67" s="283" t="str">
        <f t="shared" si="0"/>
        <v xml:space="preserve">  </v>
      </c>
      <c r="J67" s="206"/>
      <c r="K67" s="296" t="str">
        <f>+IFERROR(VLOOKUP($J67,'11 FORMULAS'!$B$51:$C$53,2,0),"")</f>
        <v/>
      </c>
      <c r="L67" s="296" t="str">
        <f>+IFERROR(VLOOKUP($J67,'11 FORMULAS'!$B$51:$D$53,3,0),"")</f>
        <v/>
      </c>
      <c r="M67" s="351"/>
      <c r="N67" s="352" t="str">
        <f>+IFERROR(VLOOKUP($M67,'11 FORMULAS'!$B$54:$C$55,2,0),"")</f>
        <v/>
      </c>
      <c r="O67" s="353"/>
      <c r="P67" s="353"/>
      <c r="Q67" s="353"/>
      <c r="R67" s="353"/>
      <c r="S67" s="296" t="str">
        <f t="shared" si="1"/>
        <v/>
      </c>
      <c r="T67" s="296">
        <f>IF($L67='11 FORMULAS'!$D$51,$C$8-($C$8*$S$8),$C$8)</f>
        <v>0.6</v>
      </c>
      <c r="U67" s="296" t="str">
        <f>IF($L67='11 FORMULAS'!$D$53,$D$62-($D$62*$S$62),$D$62)</f>
        <v/>
      </c>
      <c r="V67" s="534"/>
      <c r="W67" s="537"/>
      <c r="X67" s="37"/>
    </row>
    <row r="68" spans="1:27" ht="29.45" hidden="1" customHeight="1" thickBot="1" x14ac:dyDescent="0.3">
      <c r="A68" s="517" t="str">
        <f>'2 CONTEXTO E IDENTIFICACIÓN'!A16</f>
        <v>R8</v>
      </c>
      <c r="B68" s="521" t="str">
        <f>+'2 CONTEXTO E IDENTIFICACIÓN'!J16</f>
        <v xml:space="preserve"> por a causa de </v>
      </c>
      <c r="C68" s="491" t="str">
        <f>+'3 PROBABIL E IMPACTO INHERENTE'!E19</f>
        <v/>
      </c>
      <c r="D68" s="494" t="str">
        <f>+'3 PROBABIL E IMPACTO INHERENTE'!M19</f>
        <v/>
      </c>
      <c r="E68" s="355">
        <v>1</v>
      </c>
      <c r="F68" s="326"/>
      <c r="G68" s="51"/>
      <c r="H68" s="51"/>
      <c r="I68" s="283" t="str">
        <f t="shared" si="0"/>
        <v xml:space="preserve">  </v>
      </c>
      <c r="J68" s="206"/>
      <c r="K68" s="296" t="str">
        <f>+IFERROR(VLOOKUP($J68,'11 FORMULAS'!$B$51:$C$53,2,0),"")</f>
        <v/>
      </c>
      <c r="L68" s="296" t="str">
        <f>+IFERROR(VLOOKUP($J68,'11 FORMULAS'!$B$51:$D$53,3,0),"")</f>
        <v/>
      </c>
      <c r="M68" s="351"/>
      <c r="N68" s="352" t="str">
        <f>+IFERROR(VLOOKUP($M68,'11 FORMULAS'!$B$54:$C$55,2,0),"")</f>
        <v/>
      </c>
      <c r="O68" s="353"/>
      <c r="P68" s="353"/>
      <c r="Q68" s="353"/>
      <c r="R68" s="353"/>
      <c r="S68" s="296" t="str">
        <f t="shared" si="1"/>
        <v/>
      </c>
      <c r="T68" s="296">
        <f>IF($L68='11 FORMULAS'!$D$51,$C$8-($C$8*$S$8),$C$8)</f>
        <v>0.6</v>
      </c>
      <c r="U68" s="296" t="str">
        <f>IF($L68='11 FORMULAS'!$D$53,$D$68-($D$68*$S$68),$D$68)</f>
        <v/>
      </c>
      <c r="V68" s="532">
        <f>+IF(T73="","",T73)</f>
        <v>0.6</v>
      </c>
      <c r="W68" s="535" t="str">
        <f>+IF(U73="","",U73)</f>
        <v/>
      </c>
      <c r="X68" s="37"/>
      <c r="Y68" s="292"/>
      <c r="Z68" s="293"/>
      <c r="AA68" s="293"/>
    </row>
    <row r="69" spans="1:27" ht="29.45" hidden="1" customHeight="1" thickBot="1" x14ac:dyDescent="0.3">
      <c r="A69" s="518"/>
      <c r="B69" s="522"/>
      <c r="C69" s="515"/>
      <c r="D69" s="516"/>
      <c r="E69" s="350">
        <v>2</v>
      </c>
      <c r="F69" s="324"/>
      <c r="G69" s="321"/>
      <c r="H69" s="321"/>
      <c r="I69" s="283" t="str">
        <f t="shared" si="0"/>
        <v xml:space="preserve">  </v>
      </c>
      <c r="J69" s="206"/>
      <c r="K69" s="296" t="str">
        <f>+IFERROR(VLOOKUP($J69,'11 FORMULAS'!$B$51:$C$53,2,0),"")</f>
        <v/>
      </c>
      <c r="L69" s="296" t="str">
        <f>+IFERROR(VLOOKUP($J69,'11 FORMULAS'!$B$51:$D$53,3,0),"")</f>
        <v/>
      </c>
      <c r="M69" s="351"/>
      <c r="N69" s="352" t="str">
        <f>+IFERROR(VLOOKUP($M69,'11 FORMULAS'!$B$54:$C$55,2,0),"")</f>
        <v/>
      </c>
      <c r="O69" s="353"/>
      <c r="P69" s="353"/>
      <c r="Q69" s="353"/>
      <c r="R69" s="353"/>
      <c r="S69" s="296" t="str">
        <f t="shared" si="1"/>
        <v/>
      </c>
      <c r="T69" s="296">
        <f>IF($L69='11 FORMULAS'!$D$51,$C$8-($C$8*$S$8),$C$8)</f>
        <v>0.6</v>
      </c>
      <c r="U69" s="296" t="str">
        <f>IF($L69='11 FORMULAS'!$D$53,$D$68-($D$68*$S$68),$D$68)</f>
        <v/>
      </c>
      <c r="V69" s="540"/>
      <c r="W69" s="541"/>
      <c r="X69" s="37"/>
      <c r="Y69" s="292"/>
      <c r="Z69" s="293"/>
      <c r="AA69" s="293"/>
    </row>
    <row r="70" spans="1:27" ht="29.45" hidden="1" customHeight="1" thickBot="1" x14ac:dyDescent="0.3">
      <c r="A70" s="518"/>
      <c r="B70" s="522"/>
      <c r="C70" s="515"/>
      <c r="D70" s="516"/>
      <c r="E70" s="350">
        <v>3</v>
      </c>
      <c r="F70" s="324"/>
      <c r="G70" s="321"/>
      <c r="H70" s="321"/>
      <c r="I70" s="283" t="str">
        <f t="shared" si="0"/>
        <v xml:space="preserve">  </v>
      </c>
      <c r="J70" s="206"/>
      <c r="K70" s="296" t="str">
        <f>+IFERROR(VLOOKUP($J70,'11 FORMULAS'!$B$51:$C$53,2,0),"")</f>
        <v/>
      </c>
      <c r="L70" s="296" t="str">
        <f>+IFERROR(VLOOKUP($J70,'11 FORMULAS'!$B$51:$D$53,3,0),"")</f>
        <v/>
      </c>
      <c r="M70" s="351"/>
      <c r="N70" s="352" t="str">
        <f>+IFERROR(VLOOKUP($M70,'11 FORMULAS'!$B$54:$C$55,2,0),"")</f>
        <v/>
      </c>
      <c r="O70" s="353"/>
      <c r="P70" s="353"/>
      <c r="Q70" s="353"/>
      <c r="R70" s="353"/>
      <c r="S70" s="296" t="str">
        <f t="shared" si="1"/>
        <v/>
      </c>
      <c r="T70" s="296">
        <f>IF($L70='11 FORMULAS'!$D$51,$C$8-($C$8*$S$8),$C$8)</f>
        <v>0.6</v>
      </c>
      <c r="U70" s="296" t="str">
        <f>IF($L70='11 FORMULAS'!$D$53,$D$68-($D$68*$S$68),$D$68)</f>
        <v/>
      </c>
      <c r="V70" s="540"/>
      <c r="W70" s="541"/>
      <c r="X70" s="37"/>
      <c r="Y70" s="292"/>
      <c r="Z70" s="293"/>
      <c r="AA70" s="293"/>
    </row>
    <row r="71" spans="1:27" ht="29.45" hidden="1" customHeight="1" thickBot="1" x14ac:dyDescent="0.3">
      <c r="A71" s="519"/>
      <c r="B71" s="523"/>
      <c r="C71" s="492"/>
      <c r="D71" s="495"/>
      <c r="E71" s="350">
        <v>4</v>
      </c>
      <c r="F71" s="325"/>
      <c r="G71" s="206"/>
      <c r="H71" s="206"/>
      <c r="I71" s="283" t="str">
        <f t="shared" si="0"/>
        <v xml:space="preserve">  </v>
      </c>
      <c r="J71" s="206"/>
      <c r="K71" s="296" t="str">
        <f>+IFERROR(VLOOKUP($J71,'11 FORMULAS'!$B$51:$C$53,2,0),"")</f>
        <v/>
      </c>
      <c r="L71" s="296" t="str">
        <f>+IFERROR(VLOOKUP($J71,'11 FORMULAS'!$B$51:$D$53,3,0),"")</f>
        <v/>
      </c>
      <c r="M71" s="351"/>
      <c r="N71" s="352" t="str">
        <f>+IFERROR(VLOOKUP($M71,'11 FORMULAS'!$B$54:$C$55,2,0),"")</f>
        <v/>
      </c>
      <c r="O71" s="353"/>
      <c r="P71" s="353"/>
      <c r="Q71" s="353"/>
      <c r="R71" s="353"/>
      <c r="S71" s="296" t="str">
        <f t="shared" si="1"/>
        <v/>
      </c>
      <c r="T71" s="296">
        <f>IF($L71='11 FORMULAS'!$D$51,$C$8-($C$8*$S$8),$C$8)</f>
        <v>0.6</v>
      </c>
      <c r="U71" s="296" t="str">
        <f>IF($L71='11 FORMULAS'!$D$53,$D$68-($D$68*$S$68),$D$68)</f>
        <v/>
      </c>
      <c r="V71" s="533"/>
      <c r="W71" s="536"/>
      <c r="X71" s="37"/>
      <c r="Y71" s="292"/>
      <c r="Z71" s="293"/>
      <c r="AA71" s="293"/>
    </row>
    <row r="72" spans="1:27" ht="29.45" hidden="1" customHeight="1" thickBot="1" x14ac:dyDescent="0.3">
      <c r="A72" s="519"/>
      <c r="B72" s="523"/>
      <c r="C72" s="492"/>
      <c r="D72" s="495"/>
      <c r="E72" s="350">
        <v>5</v>
      </c>
      <c r="F72" s="325"/>
      <c r="G72" s="206"/>
      <c r="H72" s="206"/>
      <c r="I72" s="283" t="str">
        <f t="shared" ref="I72:I127" si="2">+CONCATENATE(F72," ",G72," ",H72)</f>
        <v xml:space="preserve">  </v>
      </c>
      <c r="J72" s="206"/>
      <c r="K72" s="296" t="str">
        <f>+IFERROR(VLOOKUP($J72,'11 FORMULAS'!$B$51:$C$53,2,0),"")</f>
        <v/>
      </c>
      <c r="L72" s="296" t="str">
        <f>+IFERROR(VLOOKUP($J72,'11 FORMULAS'!$B$51:$D$53,3,0),"")</f>
        <v/>
      </c>
      <c r="M72" s="351"/>
      <c r="N72" s="352" t="str">
        <f>+IFERROR(VLOOKUP($M72,'11 FORMULAS'!$B$54:$C$55,2,0),"")</f>
        <v/>
      </c>
      <c r="O72" s="353"/>
      <c r="P72" s="353"/>
      <c r="Q72" s="353"/>
      <c r="R72" s="353"/>
      <c r="S72" s="296" t="str">
        <f t="shared" si="1"/>
        <v/>
      </c>
      <c r="T72" s="296">
        <f>IF($L72='11 FORMULAS'!$D$51,$C$8-($C$8*$S$8),$C$8)</f>
        <v>0.6</v>
      </c>
      <c r="U72" s="296" t="str">
        <f>IF($L72='11 FORMULAS'!$D$53,$D$68-($D$68*$S$68),$D$68)</f>
        <v/>
      </c>
      <c r="V72" s="533"/>
      <c r="W72" s="536"/>
      <c r="X72" s="37"/>
      <c r="Y72" s="292"/>
      <c r="Z72" s="293"/>
      <c r="AA72" s="293"/>
    </row>
    <row r="73" spans="1:27" ht="29.45" hidden="1" customHeight="1" thickBot="1" x14ac:dyDescent="0.3">
      <c r="A73" s="520"/>
      <c r="B73" s="524"/>
      <c r="C73" s="493"/>
      <c r="D73" s="496"/>
      <c r="E73" s="354">
        <v>6</v>
      </c>
      <c r="F73" s="328"/>
      <c r="G73" s="207"/>
      <c r="H73" s="207"/>
      <c r="I73" s="283" t="str">
        <f t="shared" si="2"/>
        <v xml:space="preserve">  </v>
      </c>
      <c r="J73" s="206"/>
      <c r="K73" s="296" t="str">
        <f>+IFERROR(VLOOKUP($J73,'11 FORMULAS'!$B$51:$C$53,2,0),"")</f>
        <v/>
      </c>
      <c r="L73" s="296" t="str">
        <f>+IFERROR(VLOOKUP($J73,'11 FORMULAS'!$B$51:$D$53,3,0),"")</f>
        <v/>
      </c>
      <c r="M73" s="351"/>
      <c r="N73" s="352" t="str">
        <f>+IFERROR(VLOOKUP($M73,'11 FORMULAS'!$B$54:$C$55,2,0),"")</f>
        <v/>
      </c>
      <c r="O73" s="353"/>
      <c r="P73" s="353"/>
      <c r="Q73" s="353"/>
      <c r="R73" s="353"/>
      <c r="S73" s="296" t="str">
        <f t="shared" ref="S73:S127" si="3">+IFERROR($K73+$N73,"")</f>
        <v/>
      </c>
      <c r="T73" s="296">
        <f>IF($L73='11 FORMULAS'!$D$51,$C$8-($C$8*$S$8),$C$8)</f>
        <v>0.6</v>
      </c>
      <c r="U73" s="296" t="str">
        <f>IF($L73='11 FORMULAS'!$D$53,$D$68-($D$68*$S$68),$D$68)</f>
        <v/>
      </c>
      <c r="V73" s="534"/>
      <c r="W73" s="537"/>
      <c r="X73" s="37"/>
    </row>
    <row r="74" spans="1:27" ht="29.45" hidden="1" customHeight="1" thickBot="1" x14ac:dyDescent="0.3">
      <c r="A74" s="517" t="str">
        <f>'2 CONTEXTO E IDENTIFICACIÓN'!A17</f>
        <v>R9</v>
      </c>
      <c r="B74" s="521" t="str">
        <f>+'2 CONTEXTO E IDENTIFICACIÓN'!J17</f>
        <v xml:space="preserve"> por a causa de </v>
      </c>
      <c r="C74" s="491" t="str">
        <f>+'3 PROBABIL E IMPACTO INHERENTE'!E20</f>
        <v/>
      </c>
      <c r="D74" s="494" t="str">
        <f>+'3 PROBABIL E IMPACTO INHERENTE'!M20</f>
        <v/>
      </c>
      <c r="E74" s="355">
        <v>1</v>
      </c>
      <c r="F74" s="326"/>
      <c r="G74" s="51"/>
      <c r="H74" s="51"/>
      <c r="I74" s="283" t="str">
        <f t="shared" si="2"/>
        <v xml:space="preserve">  </v>
      </c>
      <c r="J74" s="206"/>
      <c r="K74" s="296" t="str">
        <f>+IFERROR(VLOOKUP($J74,'11 FORMULAS'!$B$51:$C$53,2,0),"")</f>
        <v/>
      </c>
      <c r="L74" s="296" t="str">
        <f>+IFERROR(VLOOKUP($J74,'11 FORMULAS'!$B$51:$D$53,3,0),"")</f>
        <v/>
      </c>
      <c r="M74" s="351"/>
      <c r="N74" s="352" t="str">
        <f>+IFERROR(VLOOKUP($M74,'11 FORMULAS'!$B$54:$C$55,2,0),"")</f>
        <v/>
      </c>
      <c r="O74" s="353"/>
      <c r="P74" s="353"/>
      <c r="Q74" s="353"/>
      <c r="R74" s="353"/>
      <c r="S74" s="296" t="str">
        <f t="shared" si="3"/>
        <v/>
      </c>
      <c r="T74" s="296">
        <f>IF($L74='11 FORMULAS'!$D$51,$C$8-($C$8*$S$8),$C$8)</f>
        <v>0.6</v>
      </c>
      <c r="U74" s="296" t="str">
        <f>IF($L74='11 FORMULAS'!$D$53,$D$74-($D$74*$S$74),$D$74)</f>
        <v/>
      </c>
      <c r="V74" s="532">
        <f>+IF(T79="","",T79)</f>
        <v>0.6</v>
      </c>
      <c r="W74" s="535" t="str">
        <f>+IF(U79="","",U79)</f>
        <v/>
      </c>
      <c r="X74" s="37"/>
      <c r="Y74" s="292"/>
      <c r="Z74" s="293"/>
      <c r="AA74" s="293"/>
    </row>
    <row r="75" spans="1:27" ht="29.45" hidden="1" customHeight="1" thickBot="1" x14ac:dyDescent="0.3">
      <c r="A75" s="519"/>
      <c r="B75" s="523"/>
      <c r="C75" s="492"/>
      <c r="D75" s="495"/>
      <c r="E75" s="350">
        <v>2</v>
      </c>
      <c r="F75" s="325"/>
      <c r="G75" s="206"/>
      <c r="H75" s="206"/>
      <c r="I75" s="283" t="str">
        <f t="shared" si="2"/>
        <v xml:space="preserve">  </v>
      </c>
      <c r="J75" s="206"/>
      <c r="K75" s="296" t="str">
        <f>+IFERROR(VLOOKUP($J75,'11 FORMULAS'!$B$51:$C$53,2,0),"")</f>
        <v/>
      </c>
      <c r="L75" s="296" t="str">
        <f>+IFERROR(VLOOKUP($J75,'11 FORMULAS'!$B$51:$D$53,3,0),"")</f>
        <v/>
      </c>
      <c r="M75" s="351"/>
      <c r="N75" s="352" t="str">
        <f>+IFERROR(VLOOKUP($M75,'11 FORMULAS'!$B$54:$C$55,2,0),"")</f>
        <v/>
      </c>
      <c r="O75" s="353"/>
      <c r="P75" s="353"/>
      <c r="Q75" s="353"/>
      <c r="R75" s="353"/>
      <c r="S75" s="296" t="str">
        <f t="shared" si="3"/>
        <v/>
      </c>
      <c r="T75" s="296">
        <f>IF($L75='11 FORMULAS'!$D$51,$C$8-($C$8*$S$8),$C$8)</f>
        <v>0.6</v>
      </c>
      <c r="U75" s="296" t="str">
        <f>IF($L75='11 FORMULAS'!$D$53,$D$74-($D$74*$S$74),$D$74)</f>
        <v/>
      </c>
      <c r="V75" s="533"/>
      <c r="W75" s="536"/>
      <c r="X75" s="37"/>
      <c r="Y75" s="292"/>
      <c r="Z75" s="293"/>
      <c r="AA75" s="293"/>
    </row>
    <row r="76" spans="1:27" ht="29.45" hidden="1" customHeight="1" thickBot="1" x14ac:dyDescent="0.3">
      <c r="A76" s="519"/>
      <c r="B76" s="523"/>
      <c r="C76" s="492"/>
      <c r="D76" s="495"/>
      <c r="E76" s="350">
        <v>3</v>
      </c>
      <c r="F76" s="325"/>
      <c r="G76" s="206"/>
      <c r="H76" s="206"/>
      <c r="I76" s="283" t="str">
        <f t="shared" si="2"/>
        <v xml:space="preserve">  </v>
      </c>
      <c r="J76" s="206"/>
      <c r="K76" s="296" t="str">
        <f>+IFERROR(VLOOKUP($J76,'11 FORMULAS'!$B$51:$C$53,2,0),"")</f>
        <v/>
      </c>
      <c r="L76" s="296" t="str">
        <f>+IFERROR(VLOOKUP($J76,'11 FORMULAS'!$B$51:$D$53,3,0),"")</f>
        <v/>
      </c>
      <c r="M76" s="351"/>
      <c r="N76" s="352" t="str">
        <f>+IFERROR(VLOOKUP($M76,'11 FORMULAS'!$B$54:$C$55,2,0),"")</f>
        <v/>
      </c>
      <c r="O76" s="353"/>
      <c r="P76" s="353"/>
      <c r="Q76" s="353"/>
      <c r="R76" s="353"/>
      <c r="S76" s="296" t="str">
        <f t="shared" si="3"/>
        <v/>
      </c>
      <c r="T76" s="296">
        <f>IF($L76='11 FORMULAS'!$D$51,$C$8-($C$8*$S$8),$C$8)</f>
        <v>0.6</v>
      </c>
      <c r="U76" s="296" t="str">
        <f>IF($L76='11 FORMULAS'!$D$53,$D$74-($D$74*$S$74),$D$74)</f>
        <v/>
      </c>
      <c r="V76" s="533"/>
      <c r="W76" s="536"/>
      <c r="X76" s="37"/>
      <c r="Y76" s="292"/>
      <c r="Z76" s="293"/>
      <c r="AA76" s="293"/>
    </row>
    <row r="77" spans="1:27" ht="29.45" hidden="1" customHeight="1" thickBot="1" x14ac:dyDescent="0.3">
      <c r="A77" s="519"/>
      <c r="B77" s="523"/>
      <c r="C77" s="492"/>
      <c r="D77" s="495"/>
      <c r="E77" s="350">
        <v>4</v>
      </c>
      <c r="F77" s="325"/>
      <c r="G77" s="206"/>
      <c r="H77" s="206"/>
      <c r="I77" s="283" t="str">
        <f t="shared" si="2"/>
        <v xml:space="preserve">  </v>
      </c>
      <c r="J77" s="206"/>
      <c r="K77" s="296" t="str">
        <f>+IFERROR(VLOOKUP($J77,'11 FORMULAS'!$B$51:$C$53,2,0),"")</f>
        <v/>
      </c>
      <c r="L77" s="296" t="str">
        <f>+IFERROR(VLOOKUP($J77,'11 FORMULAS'!$B$51:$D$53,3,0),"")</f>
        <v/>
      </c>
      <c r="M77" s="351"/>
      <c r="N77" s="352" t="str">
        <f>+IFERROR(VLOOKUP($M77,'11 FORMULAS'!$B$54:$C$55,2,0),"")</f>
        <v/>
      </c>
      <c r="O77" s="353"/>
      <c r="P77" s="353"/>
      <c r="Q77" s="353"/>
      <c r="R77" s="353"/>
      <c r="S77" s="296" t="str">
        <f t="shared" si="3"/>
        <v/>
      </c>
      <c r="T77" s="296">
        <f>IF($L77='11 FORMULAS'!$D$51,$C$8-($C$8*$S$8),$C$8)</f>
        <v>0.6</v>
      </c>
      <c r="U77" s="296" t="str">
        <f>IF($L77='11 FORMULAS'!$D$53,$D$74-($D$74*$S$74),$D$74)</f>
        <v/>
      </c>
      <c r="V77" s="533"/>
      <c r="W77" s="536"/>
      <c r="X77" s="37"/>
      <c r="Y77" s="292"/>
      <c r="Z77" s="293"/>
      <c r="AA77" s="293"/>
    </row>
    <row r="78" spans="1:27" ht="29.45" hidden="1" customHeight="1" thickBot="1" x14ac:dyDescent="0.3">
      <c r="A78" s="519"/>
      <c r="B78" s="523"/>
      <c r="C78" s="492"/>
      <c r="D78" s="495"/>
      <c r="E78" s="350">
        <v>5</v>
      </c>
      <c r="F78" s="325"/>
      <c r="G78" s="206"/>
      <c r="H78" s="206"/>
      <c r="I78" s="283" t="str">
        <f t="shared" si="2"/>
        <v xml:space="preserve">  </v>
      </c>
      <c r="J78" s="206"/>
      <c r="K78" s="296" t="str">
        <f>+IFERROR(VLOOKUP($J78,'11 FORMULAS'!$B$51:$C$53,2,0),"")</f>
        <v/>
      </c>
      <c r="L78" s="296" t="str">
        <f>+IFERROR(VLOOKUP($J78,'11 FORMULAS'!$B$51:$D$53,3,0),"")</f>
        <v/>
      </c>
      <c r="M78" s="351"/>
      <c r="N78" s="352" t="str">
        <f>+IFERROR(VLOOKUP($M78,'11 FORMULAS'!$B$54:$C$55,2,0),"")</f>
        <v/>
      </c>
      <c r="O78" s="353"/>
      <c r="P78" s="353"/>
      <c r="Q78" s="353"/>
      <c r="R78" s="353"/>
      <c r="S78" s="296" t="str">
        <f t="shared" si="3"/>
        <v/>
      </c>
      <c r="T78" s="296">
        <f>IF($L78='11 FORMULAS'!$D$51,$C$8-($C$8*$S$8),$C$8)</f>
        <v>0.6</v>
      </c>
      <c r="U78" s="296" t="str">
        <f>IF($L78='11 FORMULAS'!$D$53,$D$74-($D$74*$S$74),$D$74)</f>
        <v/>
      </c>
      <c r="V78" s="533"/>
      <c r="W78" s="536"/>
      <c r="X78" s="37"/>
      <c r="Y78" s="292"/>
      <c r="Z78" s="293"/>
      <c r="AA78" s="293"/>
    </row>
    <row r="79" spans="1:27" ht="29.45" hidden="1" customHeight="1" thickBot="1" x14ac:dyDescent="0.3">
      <c r="A79" s="520"/>
      <c r="B79" s="524"/>
      <c r="C79" s="493"/>
      <c r="D79" s="496"/>
      <c r="E79" s="354">
        <v>6</v>
      </c>
      <c r="F79" s="328"/>
      <c r="G79" s="207"/>
      <c r="H79" s="207"/>
      <c r="I79" s="283" t="str">
        <f t="shared" si="2"/>
        <v xml:space="preserve">  </v>
      </c>
      <c r="J79" s="206"/>
      <c r="K79" s="296" t="str">
        <f>+IFERROR(VLOOKUP($J79,'11 FORMULAS'!$B$51:$C$53,2,0),"")</f>
        <v/>
      </c>
      <c r="L79" s="296" t="str">
        <f>+IFERROR(VLOOKUP($J79,'11 FORMULAS'!$B$51:$D$53,3,0),"")</f>
        <v/>
      </c>
      <c r="M79" s="351"/>
      <c r="N79" s="352" t="str">
        <f>+IFERROR(VLOOKUP($M79,'11 FORMULAS'!$B$54:$C$55,2,0),"")</f>
        <v/>
      </c>
      <c r="O79" s="353"/>
      <c r="P79" s="353"/>
      <c r="Q79" s="353"/>
      <c r="R79" s="353"/>
      <c r="S79" s="296" t="str">
        <f t="shared" si="3"/>
        <v/>
      </c>
      <c r="T79" s="296">
        <f>IF($L79='11 FORMULAS'!$D$51,$C$8-($C$8*$S$8),$C$8)</f>
        <v>0.6</v>
      </c>
      <c r="U79" s="296" t="str">
        <f>IF($L79='11 FORMULAS'!$D$53,$D$74-($D$74*$S$74),$D$74)</f>
        <v/>
      </c>
      <c r="V79" s="534"/>
      <c r="W79" s="537"/>
      <c r="X79" s="37"/>
    </row>
    <row r="80" spans="1:27" ht="29.45" hidden="1" customHeight="1" thickBot="1" x14ac:dyDescent="0.3">
      <c r="A80" s="517" t="str">
        <f>'2 CONTEXTO E IDENTIFICACIÓN'!A18</f>
        <v>R10</v>
      </c>
      <c r="B80" s="521" t="str">
        <f>+'2 CONTEXTO E IDENTIFICACIÓN'!J18</f>
        <v xml:space="preserve"> por a causa de </v>
      </c>
      <c r="C80" s="491" t="str">
        <f>+'3 PROBABIL E IMPACTO INHERENTE'!E21</f>
        <v/>
      </c>
      <c r="D80" s="494" t="str">
        <f>+'3 PROBABIL E IMPACTO INHERENTE'!M21</f>
        <v/>
      </c>
      <c r="E80" s="355">
        <v>1</v>
      </c>
      <c r="F80" s="326"/>
      <c r="G80" s="51"/>
      <c r="H80" s="51"/>
      <c r="I80" s="283" t="str">
        <f t="shared" si="2"/>
        <v xml:space="preserve">  </v>
      </c>
      <c r="J80" s="206"/>
      <c r="K80" s="296" t="str">
        <f>+IFERROR(VLOOKUP($J80,'11 FORMULAS'!$B$51:$C$53,2,0),"")</f>
        <v/>
      </c>
      <c r="L80" s="296" t="str">
        <f>+IFERROR(VLOOKUP($J80,'11 FORMULAS'!$B$51:$D$53,3,0),"")</f>
        <v/>
      </c>
      <c r="M80" s="351"/>
      <c r="N80" s="352" t="str">
        <f>+IFERROR(VLOOKUP($M80,'11 FORMULAS'!$B$54:$C$55,2,0),"")</f>
        <v/>
      </c>
      <c r="O80" s="353"/>
      <c r="P80" s="353"/>
      <c r="Q80" s="353"/>
      <c r="R80" s="353"/>
      <c r="S80" s="296" t="str">
        <f t="shared" si="3"/>
        <v/>
      </c>
      <c r="T80" s="296">
        <f>IF($L80='11 FORMULAS'!$D$51,$C$8-($C$8*$S$8),$C$8)</f>
        <v>0.6</v>
      </c>
      <c r="U80" s="296" t="str">
        <f>IF($L80='11 FORMULAS'!$D$53,$D$80-($D$80*$S$80),$D$80)</f>
        <v/>
      </c>
      <c r="V80" s="532">
        <f>+IF(T85="","",T85)</f>
        <v>0.6</v>
      </c>
      <c r="W80" s="535" t="str">
        <f>+IF(U85="","",U85)</f>
        <v/>
      </c>
      <c r="X80" s="37"/>
      <c r="Y80" s="292"/>
      <c r="Z80" s="293"/>
      <c r="AA80" s="293"/>
    </row>
    <row r="81" spans="1:27" ht="29.45" hidden="1" customHeight="1" thickBot="1" x14ac:dyDescent="0.3">
      <c r="A81" s="519"/>
      <c r="B81" s="523"/>
      <c r="C81" s="492"/>
      <c r="D81" s="495"/>
      <c r="E81" s="350">
        <v>2</v>
      </c>
      <c r="F81" s="325"/>
      <c r="G81" s="206"/>
      <c r="H81" s="206"/>
      <c r="I81" s="283" t="str">
        <f t="shared" si="2"/>
        <v xml:space="preserve">  </v>
      </c>
      <c r="J81" s="206"/>
      <c r="K81" s="296" t="str">
        <f>+IFERROR(VLOOKUP($J81,'11 FORMULAS'!$B$51:$C$53,2,0),"")</f>
        <v/>
      </c>
      <c r="L81" s="296" t="str">
        <f>+IFERROR(VLOOKUP($J81,'11 FORMULAS'!$B$51:$D$53,3,0),"")</f>
        <v/>
      </c>
      <c r="M81" s="351"/>
      <c r="N81" s="352" t="str">
        <f>+IFERROR(VLOOKUP($M81,'11 FORMULAS'!$B$54:$C$55,2,0),"")</f>
        <v/>
      </c>
      <c r="O81" s="353"/>
      <c r="P81" s="353"/>
      <c r="Q81" s="353"/>
      <c r="R81" s="353"/>
      <c r="S81" s="296" t="str">
        <f t="shared" si="3"/>
        <v/>
      </c>
      <c r="T81" s="296">
        <f>IF($L81='11 FORMULAS'!$D$51,$C$8-($C$8*$S$8),$C$8)</f>
        <v>0.6</v>
      </c>
      <c r="U81" s="296" t="str">
        <f>IF($L81='11 FORMULAS'!$D$53,$D$80-($D$80*$S$80),$D$80)</f>
        <v/>
      </c>
      <c r="V81" s="533"/>
      <c r="W81" s="536"/>
      <c r="X81" s="37"/>
      <c r="Y81" s="292"/>
      <c r="Z81" s="293"/>
      <c r="AA81" s="293"/>
    </row>
    <row r="82" spans="1:27" ht="29.45" hidden="1" customHeight="1" thickBot="1" x14ac:dyDescent="0.3">
      <c r="A82" s="519"/>
      <c r="B82" s="523"/>
      <c r="C82" s="492"/>
      <c r="D82" s="495"/>
      <c r="E82" s="350">
        <v>3</v>
      </c>
      <c r="F82" s="325"/>
      <c r="G82" s="206"/>
      <c r="H82" s="206"/>
      <c r="I82" s="283" t="str">
        <f t="shared" si="2"/>
        <v xml:space="preserve">  </v>
      </c>
      <c r="J82" s="206"/>
      <c r="K82" s="296" t="str">
        <f>+IFERROR(VLOOKUP($J82,'11 FORMULAS'!$B$51:$C$53,2,0),"")</f>
        <v/>
      </c>
      <c r="L82" s="296" t="str">
        <f>+IFERROR(VLOOKUP($J82,'11 FORMULAS'!$B$51:$D$53,3,0),"")</f>
        <v/>
      </c>
      <c r="M82" s="351"/>
      <c r="N82" s="352" t="str">
        <f>+IFERROR(VLOOKUP($M82,'11 FORMULAS'!$B$54:$C$55,2,0),"")</f>
        <v/>
      </c>
      <c r="O82" s="353"/>
      <c r="P82" s="353"/>
      <c r="Q82" s="353"/>
      <c r="R82" s="353"/>
      <c r="S82" s="296" t="str">
        <f t="shared" si="3"/>
        <v/>
      </c>
      <c r="T82" s="296">
        <f>IF($L82='11 FORMULAS'!$D$51,$C$8-($C$8*$S$8),$C$8)</f>
        <v>0.6</v>
      </c>
      <c r="U82" s="296" t="str">
        <f>IF($L82='11 FORMULAS'!$D$53,$D$80-($D$80*$S$80),$D$80)</f>
        <v/>
      </c>
      <c r="V82" s="533"/>
      <c r="W82" s="536"/>
      <c r="X82" s="37"/>
      <c r="Y82" s="292"/>
      <c r="Z82" s="293"/>
      <c r="AA82" s="293"/>
    </row>
    <row r="83" spans="1:27" ht="29.45" hidden="1" customHeight="1" thickBot="1" x14ac:dyDescent="0.3">
      <c r="A83" s="519"/>
      <c r="B83" s="523"/>
      <c r="C83" s="492"/>
      <c r="D83" s="495"/>
      <c r="E83" s="350">
        <v>4</v>
      </c>
      <c r="F83" s="325"/>
      <c r="G83" s="206"/>
      <c r="H83" s="206"/>
      <c r="I83" s="283" t="str">
        <f t="shared" si="2"/>
        <v xml:space="preserve">  </v>
      </c>
      <c r="J83" s="206"/>
      <c r="K83" s="296" t="str">
        <f>+IFERROR(VLOOKUP($J83,'11 FORMULAS'!$B$51:$C$53,2,0),"")</f>
        <v/>
      </c>
      <c r="L83" s="296" t="str">
        <f>+IFERROR(VLOOKUP($J83,'11 FORMULAS'!$B$51:$D$53,3,0),"")</f>
        <v/>
      </c>
      <c r="M83" s="351"/>
      <c r="N83" s="352" t="str">
        <f>+IFERROR(VLOOKUP($M83,'11 FORMULAS'!$B$54:$C$55,2,0),"")</f>
        <v/>
      </c>
      <c r="O83" s="353"/>
      <c r="P83" s="353"/>
      <c r="Q83" s="353"/>
      <c r="R83" s="353"/>
      <c r="S83" s="296" t="str">
        <f t="shared" si="3"/>
        <v/>
      </c>
      <c r="T83" s="296">
        <f>IF($L83='11 FORMULAS'!$D$51,$C$8-($C$8*$S$8),$C$8)</f>
        <v>0.6</v>
      </c>
      <c r="U83" s="296" t="str">
        <f>IF($L83='11 FORMULAS'!$D$53,$D$80-($D$80*$S$80),$D$80)</f>
        <v/>
      </c>
      <c r="V83" s="533"/>
      <c r="W83" s="536"/>
      <c r="X83" s="37"/>
      <c r="Y83" s="292"/>
      <c r="Z83" s="293"/>
      <c r="AA83" s="293"/>
    </row>
    <row r="84" spans="1:27" ht="29.45" hidden="1" customHeight="1" thickBot="1" x14ac:dyDescent="0.3">
      <c r="A84" s="519"/>
      <c r="B84" s="523"/>
      <c r="C84" s="492"/>
      <c r="D84" s="495"/>
      <c r="E84" s="350">
        <v>5</v>
      </c>
      <c r="F84" s="325"/>
      <c r="G84" s="206"/>
      <c r="H84" s="206"/>
      <c r="I84" s="283" t="str">
        <f t="shared" si="2"/>
        <v xml:space="preserve">  </v>
      </c>
      <c r="J84" s="206"/>
      <c r="K84" s="296" t="str">
        <f>+IFERROR(VLOOKUP($J84,'11 FORMULAS'!$B$51:$C$53,2,0),"")</f>
        <v/>
      </c>
      <c r="L84" s="296" t="str">
        <f>+IFERROR(VLOOKUP($J84,'11 FORMULAS'!$B$51:$D$53,3,0),"")</f>
        <v/>
      </c>
      <c r="M84" s="351"/>
      <c r="N84" s="352" t="str">
        <f>+IFERROR(VLOOKUP($M84,'11 FORMULAS'!$B$54:$C$55,2,0),"")</f>
        <v/>
      </c>
      <c r="O84" s="353"/>
      <c r="P84" s="353"/>
      <c r="Q84" s="353"/>
      <c r="R84" s="353"/>
      <c r="S84" s="296" t="str">
        <f t="shared" si="3"/>
        <v/>
      </c>
      <c r="T84" s="296">
        <f>IF($L84='11 FORMULAS'!$D$51,$C$8-($C$8*$S$8),$C$8)</f>
        <v>0.6</v>
      </c>
      <c r="U84" s="296" t="str">
        <f>IF($L84='11 FORMULAS'!$D$53,$D$80-($D$80*$S$80),$D$80)</f>
        <v/>
      </c>
      <c r="V84" s="533"/>
      <c r="W84" s="536"/>
      <c r="X84" s="37"/>
      <c r="Y84" s="292"/>
      <c r="Z84" s="293"/>
      <c r="AA84" s="293"/>
    </row>
    <row r="85" spans="1:27" ht="29.45" hidden="1" customHeight="1" thickBot="1" x14ac:dyDescent="0.3">
      <c r="A85" s="520"/>
      <c r="B85" s="524"/>
      <c r="C85" s="493"/>
      <c r="D85" s="496"/>
      <c r="E85" s="354">
        <v>6</v>
      </c>
      <c r="F85" s="328"/>
      <c r="G85" s="207"/>
      <c r="H85" s="207"/>
      <c r="I85" s="283" t="str">
        <f t="shared" si="2"/>
        <v xml:space="preserve">  </v>
      </c>
      <c r="J85" s="206"/>
      <c r="K85" s="296" t="str">
        <f>+IFERROR(VLOOKUP($J85,'11 FORMULAS'!$B$51:$C$53,2,0),"")</f>
        <v/>
      </c>
      <c r="L85" s="296" t="str">
        <f>+IFERROR(VLOOKUP($J85,'11 FORMULAS'!$B$51:$D$53,3,0),"")</f>
        <v/>
      </c>
      <c r="M85" s="351"/>
      <c r="N85" s="352" t="str">
        <f>+IFERROR(VLOOKUP($M85,'11 FORMULAS'!$B$54:$C$55,2,0),"")</f>
        <v/>
      </c>
      <c r="O85" s="353"/>
      <c r="P85" s="353"/>
      <c r="Q85" s="353"/>
      <c r="R85" s="353"/>
      <c r="S85" s="296" t="str">
        <f t="shared" si="3"/>
        <v/>
      </c>
      <c r="T85" s="296">
        <f>IF($L85='11 FORMULAS'!$D$51,$C$8-($C$8*$S$8),$C$8)</f>
        <v>0.6</v>
      </c>
      <c r="U85" s="296" t="str">
        <f>IF($L85='11 FORMULAS'!$D$53,$D$80-($D$80*$S$80),$D$80)</f>
        <v/>
      </c>
      <c r="V85" s="534"/>
      <c r="W85" s="537"/>
      <c r="X85" s="37"/>
    </row>
    <row r="86" spans="1:27" ht="29.45" hidden="1" customHeight="1" thickBot="1" x14ac:dyDescent="0.3">
      <c r="A86" s="517" t="str">
        <f>'2 CONTEXTO E IDENTIFICACIÓN'!A19</f>
        <v>R11</v>
      </c>
      <c r="B86" s="521" t="str">
        <f>+'2 CONTEXTO E IDENTIFICACIÓN'!J19</f>
        <v xml:space="preserve"> por a causa de </v>
      </c>
      <c r="C86" s="491" t="str">
        <f>+'3 PROBABIL E IMPACTO INHERENTE'!E22</f>
        <v/>
      </c>
      <c r="D86" s="494" t="str">
        <f>+'3 PROBABIL E IMPACTO INHERENTE'!M22</f>
        <v/>
      </c>
      <c r="E86" s="355">
        <v>1</v>
      </c>
      <c r="F86" s="326"/>
      <c r="G86" s="51"/>
      <c r="H86" s="51"/>
      <c r="I86" s="283" t="str">
        <f t="shared" si="2"/>
        <v xml:space="preserve">  </v>
      </c>
      <c r="J86" s="206"/>
      <c r="K86" s="296" t="str">
        <f>+IFERROR(VLOOKUP($J86,'11 FORMULAS'!$B$51:$C$53,2,0),"")</f>
        <v/>
      </c>
      <c r="L86" s="296" t="str">
        <f>+IFERROR(VLOOKUP($J86,'11 FORMULAS'!$B$51:$D$53,3,0),"")</f>
        <v/>
      </c>
      <c r="M86" s="351"/>
      <c r="N86" s="352" t="str">
        <f>+IFERROR(VLOOKUP($M86,'11 FORMULAS'!$B$54:$C$55,2,0),"")</f>
        <v/>
      </c>
      <c r="O86" s="353"/>
      <c r="P86" s="353"/>
      <c r="Q86" s="353"/>
      <c r="R86" s="353"/>
      <c r="S86" s="296" t="str">
        <f t="shared" si="3"/>
        <v/>
      </c>
      <c r="T86" s="296">
        <f>IF($L86='11 FORMULAS'!$D$51,$C$8-($C$8*$S$8),$C$8)</f>
        <v>0.6</v>
      </c>
      <c r="U86" s="296" t="str">
        <f>IF($L86='11 FORMULAS'!$D$53,$D$86-($D$86*$S$86),$D$86)</f>
        <v/>
      </c>
      <c r="V86" s="532">
        <f>+IF(T91="","",T91)</f>
        <v>0.6</v>
      </c>
      <c r="W86" s="535" t="str">
        <f>+IF(U91="","",U91)</f>
        <v/>
      </c>
      <c r="X86" s="37"/>
      <c r="Y86" s="292"/>
      <c r="Z86" s="293"/>
      <c r="AA86" s="293"/>
    </row>
    <row r="87" spans="1:27" ht="29.45" hidden="1" customHeight="1" thickBot="1" x14ac:dyDescent="0.3">
      <c r="A87" s="519"/>
      <c r="B87" s="523"/>
      <c r="C87" s="492"/>
      <c r="D87" s="495"/>
      <c r="E87" s="350">
        <v>2</v>
      </c>
      <c r="F87" s="325"/>
      <c r="G87" s="206"/>
      <c r="H87" s="206"/>
      <c r="I87" s="283" t="str">
        <f t="shared" si="2"/>
        <v xml:space="preserve">  </v>
      </c>
      <c r="J87" s="206"/>
      <c r="K87" s="296" t="str">
        <f>+IFERROR(VLOOKUP($J87,'11 FORMULAS'!$B$51:$C$53,2,0),"")</f>
        <v/>
      </c>
      <c r="L87" s="296" t="str">
        <f>+IFERROR(VLOOKUP($J87,'11 FORMULAS'!$B$51:$D$53,3,0),"")</f>
        <v/>
      </c>
      <c r="M87" s="351"/>
      <c r="N87" s="352" t="str">
        <f>+IFERROR(VLOOKUP($M87,'11 FORMULAS'!$B$54:$C$55,2,0),"")</f>
        <v/>
      </c>
      <c r="O87" s="353"/>
      <c r="P87" s="353"/>
      <c r="Q87" s="353"/>
      <c r="R87" s="353"/>
      <c r="S87" s="296" t="str">
        <f t="shared" si="3"/>
        <v/>
      </c>
      <c r="T87" s="296">
        <f>IF($L87='11 FORMULAS'!$D$51,$C$8-($C$8*$S$8),$C$8)</f>
        <v>0.6</v>
      </c>
      <c r="U87" s="296" t="str">
        <f>IF($L87='11 FORMULAS'!$D$53,$D$86-($D$86*$S$86),$D$86)</f>
        <v/>
      </c>
      <c r="V87" s="533"/>
      <c r="W87" s="536"/>
      <c r="X87" s="37"/>
      <c r="Y87" s="292"/>
      <c r="Z87" s="293"/>
      <c r="AA87" s="293"/>
    </row>
    <row r="88" spans="1:27" ht="29.45" hidden="1" customHeight="1" thickBot="1" x14ac:dyDescent="0.3">
      <c r="A88" s="519"/>
      <c r="B88" s="523"/>
      <c r="C88" s="492"/>
      <c r="D88" s="495"/>
      <c r="E88" s="350">
        <v>3</v>
      </c>
      <c r="F88" s="325"/>
      <c r="G88" s="206"/>
      <c r="H88" s="206"/>
      <c r="I88" s="283" t="str">
        <f t="shared" si="2"/>
        <v xml:space="preserve">  </v>
      </c>
      <c r="J88" s="206"/>
      <c r="K88" s="296" t="str">
        <f>+IFERROR(VLOOKUP($J88,'11 FORMULAS'!$B$51:$C$53,2,0),"")</f>
        <v/>
      </c>
      <c r="L88" s="296" t="str">
        <f>+IFERROR(VLOOKUP($J88,'11 FORMULAS'!$B$51:$D$53,3,0),"")</f>
        <v/>
      </c>
      <c r="M88" s="351"/>
      <c r="N88" s="352" t="str">
        <f>+IFERROR(VLOOKUP($M88,'11 FORMULAS'!$B$54:$C$55,2,0),"")</f>
        <v/>
      </c>
      <c r="O88" s="353"/>
      <c r="P88" s="353"/>
      <c r="Q88" s="353"/>
      <c r="R88" s="353"/>
      <c r="S88" s="296" t="str">
        <f t="shared" si="3"/>
        <v/>
      </c>
      <c r="T88" s="296">
        <f>IF($L88='11 FORMULAS'!$D$51,$C$8-($C$8*$S$8),$C$8)</f>
        <v>0.6</v>
      </c>
      <c r="U88" s="296" t="str">
        <f>IF($L88='11 FORMULAS'!$D$53,$D$86-($D$86*$S$86),$D$86)</f>
        <v/>
      </c>
      <c r="V88" s="533"/>
      <c r="W88" s="536"/>
      <c r="X88" s="37"/>
      <c r="Y88" s="292"/>
      <c r="Z88" s="293"/>
      <c r="AA88" s="293"/>
    </row>
    <row r="89" spans="1:27" ht="29.45" hidden="1" customHeight="1" thickBot="1" x14ac:dyDescent="0.3">
      <c r="A89" s="519"/>
      <c r="B89" s="523"/>
      <c r="C89" s="492"/>
      <c r="D89" s="495"/>
      <c r="E89" s="350">
        <v>4</v>
      </c>
      <c r="F89" s="325"/>
      <c r="G89" s="206"/>
      <c r="H89" s="206"/>
      <c r="I89" s="283" t="str">
        <f t="shared" si="2"/>
        <v xml:space="preserve">  </v>
      </c>
      <c r="J89" s="206"/>
      <c r="K89" s="296" t="str">
        <f>+IFERROR(VLOOKUP($J89,'11 FORMULAS'!$B$51:$C$53,2,0),"")</f>
        <v/>
      </c>
      <c r="L89" s="296" t="str">
        <f>+IFERROR(VLOOKUP($J89,'11 FORMULAS'!$B$51:$D$53,3,0),"")</f>
        <v/>
      </c>
      <c r="M89" s="351"/>
      <c r="N89" s="352" t="str">
        <f>+IFERROR(VLOOKUP($M89,'11 FORMULAS'!$B$54:$C$55,2,0),"")</f>
        <v/>
      </c>
      <c r="O89" s="353"/>
      <c r="P89" s="353"/>
      <c r="Q89" s="353"/>
      <c r="R89" s="353"/>
      <c r="S89" s="296" t="str">
        <f t="shared" si="3"/>
        <v/>
      </c>
      <c r="T89" s="296">
        <f>IF($L89='11 FORMULAS'!$D$51,$C$8-($C$8*$S$8),$C$8)</f>
        <v>0.6</v>
      </c>
      <c r="U89" s="296" t="str">
        <f>IF($L89='11 FORMULAS'!$D$53,$D$86-($D$86*$S$86),$D$86)</f>
        <v/>
      </c>
      <c r="V89" s="533"/>
      <c r="W89" s="536"/>
      <c r="X89" s="37"/>
      <c r="Y89" s="292"/>
      <c r="Z89" s="293"/>
      <c r="AA89" s="293"/>
    </row>
    <row r="90" spans="1:27" ht="29.45" hidden="1" customHeight="1" thickBot="1" x14ac:dyDescent="0.3">
      <c r="A90" s="519"/>
      <c r="B90" s="523"/>
      <c r="C90" s="492"/>
      <c r="D90" s="495"/>
      <c r="E90" s="350">
        <v>5</v>
      </c>
      <c r="F90" s="325"/>
      <c r="G90" s="206"/>
      <c r="H90" s="206"/>
      <c r="I90" s="283" t="str">
        <f t="shared" si="2"/>
        <v xml:space="preserve">  </v>
      </c>
      <c r="J90" s="206"/>
      <c r="K90" s="296" t="str">
        <f>+IFERROR(VLOOKUP($J90,'11 FORMULAS'!$B$51:$C$53,2,0),"")</f>
        <v/>
      </c>
      <c r="L90" s="296" t="str">
        <f>+IFERROR(VLOOKUP($J90,'11 FORMULAS'!$B$51:$D$53,3,0),"")</f>
        <v/>
      </c>
      <c r="M90" s="351"/>
      <c r="N90" s="352" t="str">
        <f>+IFERROR(VLOOKUP($M90,'11 FORMULAS'!$B$54:$C$55,2,0),"")</f>
        <v/>
      </c>
      <c r="O90" s="353"/>
      <c r="P90" s="353"/>
      <c r="Q90" s="353"/>
      <c r="R90" s="353"/>
      <c r="S90" s="296" t="str">
        <f t="shared" si="3"/>
        <v/>
      </c>
      <c r="T90" s="296">
        <f>IF($L90='11 FORMULAS'!$D$51,$C$8-($C$8*$S$8),$C$8)</f>
        <v>0.6</v>
      </c>
      <c r="U90" s="296" t="str">
        <f>IF($L90='11 FORMULAS'!$D$53,$D$86-($D$86*$S$86),$D$86)</f>
        <v/>
      </c>
      <c r="V90" s="533"/>
      <c r="W90" s="536"/>
      <c r="X90" s="37"/>
      <c r="Y90" s="292"/>
      <c r="Z90" s="293"/>
      <c r="AA90" s="293"/>
    </row>
    <row r="91" spans="1:27" ht="29.45" hidden="1" customHeight="1" thickBot="1" x14ac:dyDescent="0.3">
      <c r="A91" s="520"/>
      <c r="B91" s="524"/>
      <c r="C91" s="493"/>
      <c r="D91" s="496"/>
      <c r="E91" s="354">
        <v>6</v>
      </c>
      <c r="F91" s="328"/>
      <c r="G91" s="207"/>
      <c r="H91" s="207"/>
      <c r="I91" s="283" t="str">
        <f t="shared" si="2"/>
        <v xml:space="preserve">  </v>
      </c>
      <c r="J91" s="206"/>
      <c r="K91" s="296" t="str">
        <f>+IFERROR(VLOOKUP($J91,'11 FORMULAS'!$B$51:$C$53,2,0),"")</f>
        <v/>
      </c>
      <c r="L91" s="296" t="str">
        <f>+IFERROR(VLOOKUP($J91,'11 FORMULAS'!$B$51:$D$53,3,0),"")</f>
        <v/>
      </c>
      <c r="M91" s="351"/>
      <c r="N91" s="352" t="str">
        <f>+IFERROR(VLOOKUP($M91,'11 FORMULAS'!$B$54:$C$55,2,0),"")</f>
        <v/>
      </c>
      <c r="O91" s="353"/>
      <c r="P91" s="353"/>
      <c r="Q91" s="353"/>
      <c r="R91" s="353"/>
      <c r="S91" s="296" t="str">
        <f t="shared" si="3"/>
        <v/>
      </c>
      <c r="T91" s="296">
        <f>IF($L91='11 FORMULAS'!$D$51,$C$8-($C$8*$S$8),$C$8)</f>
        <v>0.6</v>
      </c>
      <c r="U91" s="296" t="str">
        <f>IF($L91='11 FORMULAS'!$D$53,$D$86-($D$86*$S$86),$D$86)</f>
        <v/>
      </c>
      <c r="V91" s="534"/>
      <c r="W91" s="537"/>
      <c r="X91" s="37"/>
    </row>
    <row r="92" spans="1:27" ht="29.45" hidden="1" customHeight="1" thickBot="1" x14ac:dyDescent="0.3">
      <c r="A92" s="517" t="str">
        <f>'2 CONTEXTO E IDENTIFICACIÓN'!A20</f>
        <v>R12</v>
      </c>
      <c r="B92" s="521" t="str">
        <f>+'2 CONTEXTO E IDENTIFICACIÓN'!J20</f>
        <v xml:space="preserve"> por a causa de </v>
      </c>
      <c r="C92" s="491" t="str">
        <f>+'3 PROBABIL E IMPACTO INHERENTE'!E23</f>
        <v/>
      </c>
      <c r="D92" s="494" t="str">
        <f>+'3 PROBABIL E IMPACTO INHERENTE'!M23</f>
        <v/>
      </c>
      <c r="E92" s="355">
        <v>1</v>
      </c>
      <c r="F92" s="326"/>
      <c r="G92" s="51"/>
      <c r="H92" s="51"/>
      <c r="I92" s="283" t="str">
        <f t="shared" si="2"/>
        <v xml:space="preserve">  </v>
      </c>
      <c r="J92" s="206"/>
      <c r="K92" s="296" t="str">
        <f>+IFERROR(VLOOKUP($J92,'11 FORMULAS'!$B$51:$C$53,2,0),"")</f>
        <v/>
      </c>
      <c r="L92" s="296" t="str">
        <f>+IFERROR(VLOOKUP($J92,'11 FORMULAS'!$B$51:$D$53,3,0),"")</f>
        <v/>
      </c>
      <c r="M92" s="351"/>
      <c r="N92" s="352" t="str">
        <f>+IFERROR(VLOOKUP($M92,'11 FORMULAS'!$B$54:$C$55,2,0),"")</f>
        <v/>
      </c>
      <c r="O92" s="353"/>
      <c r="P92" s="353"/>
      <c r="Q92" s="353"/>
      <c r="R92" s="353"/>
      <c r="S92" s="296" t="str">
        <f t="shared" si="3"/>
        <v/>
      </c>
      <c r="T92" s="296">
        <f>IF($L92='11 FORMULAS'!$D$51,$C$8-($C$8*$S$8),$C$8)</f>
        <v>0.6</v>
      </c>
      <c r="U92" s="329" t="str">
        <f>IF($L92='11 FORMULAS'!$D$53,D92-(D92*S92),D92)</f>
        <v/>
      </c>
      <c r="V92" s="532">
        <f>+IF(T97="","",T97)</f>
        <v>0.6</v>
      </c>
      <c r="W92" s="535">
        <f>+IF(U97="","",U97)</f>
        <v>0</v>
      </c>
      <c r="X92" s="37"/>
      <c r="Y92" s="292"/>
      <c r="Z92" s="293"/>
      <c r="AA92" s="293"/>
    </row>
    <row r="93" spans="1:27" ht="29.45" hidden="1" customHeight="1" thickBot="1" x14ac:dyDescent="0.3">
      <c r="A93" s="519"/>
      <c r="B93" s="523"/>
      <c r="C93" s="492"/>
      <c r="D93" s="495"/>
      <c r="E93" s="350">
        <v>2</v>
      </c>
      <c r="F93" s="325"/>
      <c r="G93" s="206"/>
      <c r="H93" s="206"/>
      <c r="I93" s="283" t="str">
        <f t="shared" si="2"/>
        <v xml:space="preserve">  </v>
      </c>
      <c r="J93" s="206"/>
      <c r="K93" s="296" t="str">
        <f>+IFERROR(VLOOKUP($J93,'11 FORMULAS'!$B$51:$C$53,2,0),"")</f>
        <v/>
      </c>
      <c r="L93" s="296" t="str">
        <f>+IFERROR(VLOOKUP($J93,'11 FORMULAS'!$B$51:$D$53,3,0),"")</f>
        <v/>
      </c>
      <c r="M93" s="351"/>
      <c r="N93" s="352" t="str">
        <f>+IFERROR(VLOOKUP($M93,'11 FORMULAS'!$B$54:$C$55,2,0),"")</f>
        <v/>
      </c>
      <c r="O93" s="353"/>
      <c r="P93" s="353"/>
      <c r="Q93" s="353"/>
      <c r="R93" s="353"/>
      <c r="S93" s="296" t="str">
        <f t="shared" si="3"/>
        <v/>
      </c>
      <c r="T93" s="296">
        <f>IF($L93='11 FORMULAS'!$D$51,$C$8-($C$8*$S$8),$C$8)</f>
        <v>0.6</v>
      </c>
      <c r="U93" s="296">
        <f>IF($L93='11 FORMULAS'!$D$53,D93-(D93*S93),D93)</f>
        <v>0</v>
      </c>
      <c r="V93" s="533"/>
      <c r="W93" s="536"/>
      <c r="X93" s="37"/>
      <c r="Y93" s="292"/>
      <c r="Z93" s="293"/>
      <c r="AA93" s="293"/>
    </row>
    <row r="94" spans="1:27" ht="29.45" hidden="1" customHeight="1" thickBot="1" x14ac:dyDescent="0.3">
      <c r="A94" s="519"/>
      <c r="B94" s="523"/>
      <c r="C94" s="492"/>
      <c r="D94" s="495"/>
      <c r="E94" s="350">
        <v>3</v>
      </c>
      <c r="F94" s="325"/>
      <c r="G94" s="206"/>
      <c r="H94" s="206"/>
      <c r="I94" s="283" t="str">
        <f t="shared" si="2"/>
        <v xml:space="preserve">  </v>
      </c>
      <c r="J94" s="206"/>
      <c r="K94" s="296" t="str">
        <f>+IFERROR(VLOOKUP($J94,'11 FORMULAS'!$B$51:$C$53,2,0),"")</f>
        <v/>
      </c>
      <c r="L94" s="296" t="str">
        <f>+IFERROR(VLOOKUP($J94,'11 FORMULAS'!$B$51:$D$53,3,0),"")</f>
        <v/>
      </c>
      <c r="M94" s="351"/>
      <c r="N94" s="352" t="str">
        <f>+IFERROR(VLOOKUP($M94,'11 FORMULAS'!$B$54:$C$55,2,0),"")</f>
        <v/>
      </c>
      <c r="O94" s="353"/>
      <c r="P94" s="353"/>
      <c r="Q94" s="353"/>
      <c r="R94" s="353"/>
      <c r="S94" s="296" t="str">
        <f t="shared" si="3"/>
        <v/>
      </c>
      <c r="T94" s="296">
        <f>IF($L94='11 FORMULAS'!$D$51,$C$8-($C$8*$S$8),$C$8)</f>
        <v>0.6</v>
      </c>
      <c r="U94" s="296">
        <f>IF($L94='11 FORMULAS'!$D$53,D94-(D94*S94),D94)</f>
        <v>0</v>
      </c>
      <c r="V94" s="533"/>
      <c r="W94" s="536"/>
      <c r="X94" s="37"/>
      <c r="Y94" s="292"/>
      <c r="Z94" s="293"/>
      <c r="AA94" s="293"/>
    </row>
    <row r="95" spans="1:27" ht="29.45" hidden="1" customHeight="1" thickBot="1" x14ac:dyDescent="0.3">
      <c r="A95" s="519"/>
      <c r="B95" s="523"/>
      <c r="C95" s="492"/>
      <c r="D95" s="495"/>
      <c r="E95" s="350">
        <v>4</v>
      </c>
      <c r="F95" s="325"/>
      <c r="G95" s="206"/>
      <c r="H95" s="206"/>
      <c r="I95" s="283" t="str">
        <f t="shared" si="2"/>
        <v xml:space="preserve">  </v>
      </c>
      <c r="J95" s="206"/>
      <c r="K95" s="296" t="str">
        <f>+IFERROR(VLOOKUP($J95,'11 FORMULAS'!$B$51:$C$53,2,0),"")</f>
        <v/>
      </c>
      <c r="L95" s="296" t="str">
        <f>+IFERROR(VLOOKUP($J95,'11 FORMULAS'!$B$51:$D$53,3,0),"")</f>
        <v/>
      </c>
      <c r="M95" s="351"/>
      <c r="N95" s="352" t="str">
        <f>+IFERROR(VLOOKUP($M95,'11 FORMULAS'!$B$54:$C$55,2,0),"")</f>
        <v/>
      </c>
      <c r="O95" s="353"/>
      <c r="P95" s="353"/>
      <c r="Q95" s="353"/>
      <c r="R95" s="353"/>
      <c r="S95" s="296" t="str">
        <f t="shared" si="3"/>
        <v/>
      </c>
      <c r="T95" s="296">
        <f>IF($L95='11 FORMULAS'!$D$51,$C$8-($C$8*$S$8),$C$8)</f>
        <v>0.6</v>
      </c>
      <c r="U95" s="296">
        <f>IF($L95='11 FORMULAS'!$D$53,D95-(D95*S95),D95)</f>
        <v>0</v>
      </c>
      <c r="V95" s="533"/>
      <c r="W95" s="536"/>
      <c r="X95" s="37"/>
      <c r="Y95" s="292"/>
      <c r="Z95" s="293"/>
      <c r="AA95" s="293"/>
    </row>
    <row r="96" spans="1:27" ht="29.45" hidden="1" customHeight="1" thickBot="1" x14ac:dyDescent="0.3">
      <c r="A96" s="519"/>
      <c r="B96" s="523"/>
      <c r="C96" s="492"/>
      <c r="D96" s="495"/>
      <c r="E96" s="350">
        <v>5</v>
      </c>
      <c r="F96" s="325"/>
      <c r="G96" s="206"/>
      <c r="H96" s="206"/>
      <c r="I96" s="283" t="str">
        <f t="shared" si="2"/>
        <v xml:space="preserve">  </v>
      </c>
      <c r="J96" s="206"/>
      <c r="K96" s="296" t="str">
        <f>+IFERROR(VLOOKUP($J96,'11 FORMULAS'!$B$51:$C$53,2,0),"")</f>
        <v/>
      </c>
      <c r="L96" s="296" t="str">
        <f>+IFERROR(VLOOKUP($J96,'11 FORMULAS'!$B$51:$D$53,3,0),"")</f>
        <v/>
      </c>
      <c r="M96" s="351"/>
      <c r="N96" s="352" t="str">
        <f>+IFERROR(VLOOKUP($M96,'11 FORMULAS'!$B$54:$C$55,2,0),"")</f>
        <v/>
      </c>
      <c r="O96" s="353"/>
      <c r="P96" s="353"/>
      <c r="Q96" s="353"/>
      <c r="R96" s="353"/>
      <c r="S96" s="296" t="str">
        <f t="shared" si="3"/>
        <v/>
      </c>
      <c r="T96" s="296">
        <f>IF($L96='11 FORMULAS'!$D$51,$C$8-($C$8*$S$8),$C$8)</f>
        <v>0.6</v>
      </c>
      <c r="U96" s="296">
        <f>IF($L96='11 FORMULAS'!$D$53,D96-(D96*S96),D96)</f>
        <v>0</v>
      </c>
      <c r="V96" s="533"/>
      <c r="W96" s="536"/>
      <c r="X96" s="37"/>
      <c r="Y96" s="292"/>
      <c r="Z96" s="293"/>
      <c r="AA96" s="293"/>
    </row>
    <row r="97" spans="1:27" ht="29.45" hidden="1" customHeight="1" thickBot="1" x14ac:dyDescent="0.3">
      <c r="A97" s="520"/>
      <c r="B97" s="524"/>
      <c r="C97" s="493"/>
      <c r="D97" s="496"/>
      <c r="E97" s="354">
        <v>6</v>
      </c>
      <c r="F97" s="328"/>
      <c r="G97" s="207"/>
      <c r="H97" s="207"/>
      <c r="I97" s="283" t="str">
        <f t="shared" si="2"/>
        <v xml:space="preserve">  </v>
      </c>
      <c r="J97" s="206"/>
      <c r="K97" s="296" t="str">
        <f>+IFERROR(VLOOKUP($J97,'11 FORMULAS'!$B$51:$C$53,2,0),"")</f>
        <v/>
      </c>
      <c r="L97" s="296" t="str">
        <f>+IFERROR(VLOOKUP($J97,'11 FORMULAS'!$B$51:$D$53,3,0),"")</f>
        <v/>
      </c>
      <c r="M97" s="351"/>
      <c r="N97" s="352" t="str">
        <f>+IFERROR(VLOOKUP($M97,'11 FORMULAS'!$B$54:$C$55,2,0),"")</f>
        <v/>
      </c>
      <c r="O97" s="353"/>
      <c r="P97" s="353"/>
      <c r="Q97" s="353"/>
      <c r="R97" s="353"/>
      <c r="S97" s="296" t="str">
        <f t="shared" si="3"/>
        <v/>
      </c>
      <c r="T97" s="296">
        <f>IF($L97='11 FORMULAS'!$D$51,$C$8-($C$8*$S$8),$C$8)</f>
        <v>0.6</v>
      </c>
      <c r="U97" s="296">
        <f>IF($L97='11 FORMULAS'!$D$53,D97-(D97*S97),D97)</f>
        <v>0</v>
      </c>
      <c r="V97" s="534"/>
      <c r="W97" s="537"/>
      <c r="X97" s="37"/>
    </row>
    <row r="98" spans="1:27" ht="29.45" hidden="1" customHeight="1" thickBot="1" x14ac:dyDescent="0.3">
      <c r="A98" s="517" t="str">
        <f>'2 CONTEXTO E IDENTIFICACIÓN'!A21</f>
        <v>R13</v>
      </c>
      <c r="B98" s="521" t="str">
        <f>+'2 CONTEXTO E IDENTIFICACIÓN'!J21</f>
        <v xml:space="preserve"> por a causa de </v>
      </c>
      <c r="C98" s="491" t="str">
        <f>+'3 PROBABIL E IMPACTO INHERENTE'!E24</f>
        <v/>
      </c>
      <c r="D98" s="494" t="str">
        <f>+'3 PROBABIL E IMPACTO INHERENTE'!M24</f>
        <v/>
      </c>
      <c r="E98" s="355">
        <v>1</v>
      </c>
      <c r="F98" s="326"/>
      <c r="G98" s="51"/>
      <c r="H98" s="51"/>
      <c r="I98" s="283" t="str">
        <f t="shared" si="2"/>
        <v xml:space="preserve">  </v>
      </c>
      <c r="J98" s="206"/>
      <c r="K98" s="296" t="str">
        <f>+IFERROR(VLOOKUP($J98,'11 FORMULAS'!$B$51:$C$53,2,0),"")</f>
        <v/>
      </c>
      <c r="L98" s="296" t="str">
        <f>+IFERROR(VLOOKUP($J98,'11 FORMULAS'!$B$51:$D$53,3,0),"")</f>
        <v/>
      </c>
      <c r="M98" s="351"/>
      <c r="N98" s="352" t="str">
        <f>+IFERROR(VLOOKUP($M98,'11 FORMULAS'!$B$54:$C$55,2,0),"")</f>
        <v/>
      </c>
      <c r="O98" s="353"/>
      <c r="P98" s="353"/>
      <c r="Q98" s="353"/>
      <c r="R98" s="353"/>
      <c r="S98" s="296" t="str">
        <f t="shared" si="3"/>
        <v/>
      </c>
      <c r="T98" s="296">
        <f>IF($L98='11 FORMULAS'!$D$51,$C$8-($C$8*$S$8),$C$8)</f>
        <v>0.6</v>
      </c>
      <c r="U98" s="296" t="str">
        <f>IF($L98='11 FORMULAS'!$D$53,D98-(D98*S98),D98)</f>
        <v/>
      </c>
      <c r="V98" s="532">
        <f>+IF(T103="","",T103)</f>
        <v>0.6</v>
      </c>
      <c r="W98" s="535">
        <f>+IF(U103="","",U103)</f>
        <v>0</v>
      </c>
      <c r="X98" s="37"/>
      <c r="Y98" s="292"/>
      <c r="Z98" s="293"/>
      <c r="AA98" s="293"/>
    </row>
    <row r="99" spans="1:27" ht="29.45" hidden="1" customHeight="1" thickBot="1" x14ac:dyDescent="0.3">
      <c r="A99" s="519"/>
      <c r="B99" s="523"/>
      <c r="C99" s="492"/>
      <c r="D99" s="495"/>
      <c r="E99" s="350">
        <v>2</v>
      </c>
      <c r="F99" s="325"/>
      <c r="G99" s="206"/>
      <c r="H99" s="206"/>
      <c r="I99" s="283" t="str">
        <f t="shared" si="2"/>
        <v xml:space="preserve">  </v>
      </c>
      <c r="J99" s="206"/>
      <c r="K99" s="296" t="str">
        <f>+IFERROR(VLOOKUP($J99,'11 FORMULAS'!$B$51:$C$53,2,0),"")</f>
        <v/>
      </c>
      <c r="L99" s="296" t="str">
        <f>+IFERROR(VLOOKUP($J99,'11 FORMULAS'!$B$51:$D$53,3,0),"")</f>
        <v/>
      </c>
      <c r="M99" s="351"/>
      <c r="N99" s="352" t="str">
        <f>+IFERROR(VLOOKUP($M99,'11 FORMULAS'!$B$54:$C$55,2,0),"")</f>
        <v/>
      </c>
      <c r="O99" s="353"/>
      <c r="P99" s="353"/>
      <c r="Q99" s="353"/>
      <c r="R99" s="353"/>
      <c r="S99" s="296" t="str">
        <f t="shared" si="3"/>
        <v/>
      </c>
      <c r="T99" s="296">
        <f>IF($L99='11 FORMULAS'!$D$51,$C$8-($C$8*$S$8),$C$8)</f>
        <v>0.6</v>
      </c>
      <c r="U99" s="296">
        <f>IF($L99='11 FORMULAS'!$D$53,D99-(D99*S99),D99)</f>
        <v>0</v>
      </c>
      <c r="V99" s="533"/>
      <c r="W99" s="536"/>
      <c r="X99" s="37"/>
      <c r="Y99" s="292"/>
      <c r="Z99" s="293"/>
      <c r="AA99" s="293"/>
    </row>
    <row r="100" spans="1:27" ht="29.45" hidden="1" customHeight="1" thickBot="1" x14ac:dyDescent="0.3">
      <c r="A100" s="519"/>
      <c r="B100" s="523"/>
      <c r="C100" s="492"/>
      <c r="D100" s="495"/>
      <c r="E100" s="350">
        <v>3</v>
      </c>
      <c r="F100" s="325"/>
      <c r="G100" s="206"/>
      <c r="H100" s="206"/>
      <c r="I100" s="283" t="str">
        <f t="shared" si="2"/>
        <v xml:space="preserve">  </v>
      </c>
      <c r="J100" s="206"/>
      <c r="K100" s="296" t="str">
        <f>+IFERROR(VLOOKUP($J100,'11 FORMULAS'!$B$51:$C$53,2,0),"")</f>
        <v/>
      </c>
      <c r="L100" s="296" t="str">
        <f>+IFERROR(VLOOKUP($J100,'11 FORMULAS'!$B$51:$D$53,3,0),"")</f>
        <v/>
      </c>
      <c r="M100" s="351"/>
      <c r="N100" s="352" t="str">
        <f>+IFERROR(VLOOKUP($M100,'11 FORMULAS'!$B$54:$C$55,2,0),"")</f>
        <v/>
      </c>
      <c r="O100" s="353"/>
      <c r="P100" s="353"/>
      <c r="Q100" s="353"/>
      <c r="R100" s="353"/>
      <c r="S100" s="296" t="str">
        <f t="shared" si="3"/>
        <v/>
      </c>
      <c r="T100" s="296">
        <f>IF($L100='11 FORMULAS'!$D$51,$C$8-($C$8*$S$8),$C$8)</f>
        <v>0.6</v>
      </c>
      <c r="U100" s="296">
        <f>IF($L100='11 FORMULAS'!$D$53,D100-(D100*S100),D100)</f>
        <v>0</v>
      </c>
      <c r="V100" s="533"/>
      <c r="W100" s="536"/>
      <c r="X100" s="37"/>
      <c r="Y100" s="292"/>
      <c r="Z100" s="293"/>
      <c r="AA100" s="293"/>
    </row>
    <row r="101" spans="1:27" ht="29.45" hidden="1" customHeight="1" thickBot="1" x14ac:dyDescent="0.3">
      <c r="A101" s="519"/>
      <c r="B101" s="523"/>
      <c r="C101" s="492"/>
      <c r="D101" s="495"/>
      <c r="E101" s="350">
        <v>4</v>
      </c>
      <c r="F101" s="325"/>
      <c r="G101" s="206"/>
      <c r="H101" s="206"/>
      <c r="I101" s="283" t="str">
        <f t="shared" si="2"/>
        <v xml:space="preserve">  </v>
      </c>
      <c r="J101" s="206"/>
      <c r="K101" s="296" t="str">
        <f>+IFERROR(VLOOKUP($J101,'11 FORMULAS'!$B$51:$C$53,2,0),"")</f>
        <v/>
      </c>
      <c r="L101" s="296" t="str">
        <f>+IFERROR(VLOOKUP($J101,'11 FORMULAS'!$B$51:$D$53,3,0),"")</f>
        <v/>
      </c>
      <c r="M101" s="351"/>
      <c r="N101" s="352" t="str">
        <f>+IFERROR(VLOOKUP($M101,'11 FORMULAS'!$B$54:$C$55,2,0),"")</f>
        <v/>
      </c>
      <c r="O101" s="353"/>
      <c r="P101" s="353"/>
      <c r="Q101" s="353"/>
      <c r="R101" s="353"/>
      <c r="S101" s="296" t="str">
        <f t="shared" si="3"/>
        <v/>
      </c>
      <c r="T101" s="296">
        <f>IF($L101='11 FORMULAS'!$D$51,$C$8-($C$8*$S$8),$C$8)</f>
        <v>0.6</v>
      </c>
      <c r="U101" s="296">
        <f>IF($L101='11 FORMULAS'!$D$53,D101-(D101*S101),D101)</f>
        <v>0</v>
      </c>
      <c r="V101" s="533"/>
      <c r="W101" s="536"/>
      <c r="X101" s="37"/>
      <c r="Y101" s="292"/>
      <c r="Z101" s="293"/>
      <c r="AA101" s="293"/>
    </row>
    <row r="102" spans="1:27" ht="29.45" hidden="1" customHeight="1" thickBot="1" x14ac:dyDescent="0.3">
      <c r="A102" s="519"/>
      <c r="B102" s="523"/>
      <c r="C102" s="492"/>
      <c r="D102" s="495"/>
      <c r="E102" s="350">
        <v>5</v>
      </c>
      <c r="F102" s="325"/>
      <c r="G102" s="206"/>
      <c r="H102" s="206"/>
      <c r="I102" s="283" t="str">
        <f t="shared" si="2"/>
        <v xml:space="preserve">  </v>
      </c>
      <c r="J102" s="206"/>
      <c r="K102" s="296" t="str">
        <f>+IFERROR(VLOOKUP($J102,'11 FORMULAS'!$B$51:$C$53,2,0),"")</f>
        <v/>
      </c>
      <c r="L102" s="296" t="str">
        <f>+IFERROR(VLOOKUP($J102,'11 FORMULAS'!$B$51:$D$53,3,0),"")</f>
        <v/>
      </c>
      <c r="M102" s="351"/>
      <c r="N102" s="352" t="str">
        <f>+IFERROR(VLOOKUP($M102,'11 FORMULAS'!$B$54:$C$55,2,0),"")</f>
        <v/>
      </c>
      <c r="O102" s="353"/>
      <c r="P102" s="353"/>
      <c r="Q102" s="353"/>
      <c r="R102" s="353"/>
      <c r="S102" s="296" t="str">
        <f t="shared" si="3"/>
        <v/>
      </c>
      <c r="T102" s="296">
        <f>IF($L102='11 FORMULAS'!$D$51,$C$8-($C$8*$S$8),$C$8)</f>
        <v>0.6</v>
      </c>
      <c r="U102" s="296">
        <f>IF($L102='11 FORMULAS'!$D$53,D102-(D102*S102),D102)</f>
        <v>0</v>
      </c>
      <c r="V102" s="533"/>
      <c r="W102" s="536"/>
      <c r="X102" s="37"/>
      <c r="Y102" s="292"/>
      <c r="Z102" s="293"/>
      <c r="AA102" s="293"/>
    </row>
    <row r="103" spans="1:27" ht="29.45" hidden="1" customHeight="1" thickBot="1" x14ac:dyDescent="0.3">
      <c r="A103" s="520"/>
      <c r="B103" s="524"/>
      <c r="C103" s="493"/>
      <c r="D103" s="496"/>
      <c r="E103" s="354">
        <v>6</v>
      </c>
      <c r="F103" s="328"/>
      <c r="G103" s="207"/>
      <c r="H103" s="207"/>
      <c r="I103" s="283" t="str">
        <f t="shared" si="2"/>
        <v xml:space="preserve">  </v>
      </c>
      <c r="J103" s="206"/>
      <c r="K103" s="296" t="str">
        <f>+IFERROR(VLOOKUP($J103,'11 FORMULAS'!$B$51:$C$53,2,0),"")</f>
        <v/>
      </c>
      <c r="L103" s="296" t="str">
        <f>+IFERROR(VLOOKUP($J103,'11 FORMULAS'!$B$51:$D$53,3,0),"")</f>
        <v/>
      </c>
      <c r="M103" s="351"/>
      <c r="N103" s="352" t="str">
        <f>+IFERROR(VLOOKUP($M103,'11 FORMULAS'!$B$54:$C$55,2,0),"")</f>
        <v/>
      </c>
      <c r="O103" s="353"/>
      <c r="P103" s="353"/>
      <c r="Q103" s="353"/>
      <c r="R103" s="353"/>
      <c r="S103" s="296" t="str">
        <f t="shared" si="3"/>
        <v/>
      </c>
      <c r="T103" s="296">
        <f>IF($L103='11 FORMULAS'!$D$51,$C$8-($C$8*$S$8),$C$8)</f>
        <v>0.6</v>
      </c>
      <c r="U103" s="296">
        <f>IF($L103='11 FORMULAS'!$D$53,D103-(D103*S103),D103)</f>
        <v>0</v>
      </c>
      <c r="V103" s="534"/>
      <c r="W103" s="537"/>
      <c r="X103" s="37"/>
    </row>
    <row r="104" spans="1:27" ht="29.45" hidden="1" customHeight="1" thickBot="1" x14ac:dyDescent="0.3">
      <c r="A104" s="517" t="str">
        <f>'2 CONTEXTO E IDENTIFICACIÓN'!A22</f>
        <v>R14</v>
      </c>
      <c r="B104" s="521" t="str">
        <f>+'2 CONTEXTO E IDENTIFICACIÓN'!J22</f>
        <v xml:space="preserve"> por a causa de </v>
      </c>
      <c r="C104" s="491" t="str">
        <f>+'3 PROBABIL E IMPACTO INHERENTE'!E25</f>
        <v/>
      </c>
      <c r="D104" s="494" t="str">
        <f>+'3 PROBABIL E IMPACTO INHERENTE'!M25</f>
        <v/>
      </c>
      <c r="E104" s="355">
        <v>1</v>
      </c>
      <c r="F104" s="326"/>
      <c r="G104" s="51"/>
      <c r="H104" s="51"/>
      <c r="I104" s="283" t="str">
        <f t="shared" si="2"/>
        <v xml:space="preserve">  </v>
      </c>
      <c r="J104" s="206"/>
      <c r="K104" s="296" t="str">
        <f>+IFERROR(VLOOKUP($J104,'11 FORMULAS'!$B$51:$C$53,2,0),"")</f>
        <v/>
      </c>
      <c r="L104" s="296" t="str">
        <f>+IFERROR(VLOOKUP($J104,'11 FORMULAS'!$B$51:$D$53,3,0),"")</f>
        <v/>
      </c>
      <c r="M104" s="351"/>
      <c r="N104" s="352" t="str">
        <f>+IFERROR(VLOOKUP($M104,'11 FORMULAS'!$B$54:$C$55,2,0),"")</f>
        <v/>
      </c>
      <c r="O104" s="353"/>
      <c r="P104" s="353"/>
      <c r="Q104" s="353"/>
      <c r="R104" s="353"/>
      <c r="S104" s="296" t="str">
        <f t="shared" si="3"/>
        <v/>
      </c>
      <c r="T104" s="296">
        <f>IF($L104='11 FORMULAS'!$D$51,$C$8-($C$8*$S$8),$C$8)</f>
        <v>0.6</v>
      </c>
      <c r="U104" s="296" t="str">
        <f>IF($L104='11 FORMULAS'!$D$53,D104-(D104*S104),D104)</f>
        <v/>
      </c>
      <c r="V104" s="532">
        <f>+IF(T109="","",T109)</f>
        <v>0.6</v>
      </c>
      <c r="W104" s="535">
        <f>+IF(U109="","",U109)</f>
        <v>0</v>
      </c>
      <c r="X104" s="37"/>
      <c r="Y104" s="292"/>
      <c r="Z104" s="293"/>
      <c r="AA104" s="293"/>
    </row>
    <row r="105" spans="1:27" ht="29.45" hidden="1" customHeight="1" thickBot="1" x14ac:dyDescent="0.3">
      <c r="A105" s="518"/>
      <c r="B105" s="522"/>
      <c r="C105" s="515"/>
      <c r="D105" s="516"/>
      <c r="E105" s="350">
        <v>2</v>
      </c>
      <c r="F105" s="324"/>
      <c r="G105" s="321"/>
      <c r="H105" s="321"/>
      <c r="I105" s="283" t="str">
        <f t="shared" si="2"/>
        <v xml:space="preserve">  </v>
      </c>
      <c r="J105" s="206"/>
      <c r="K105" s="296" t="str">
        <f>+IFERROR(VLOOKUP($J105,'11 FORMULAS'!$B$51:$C$53,2,0),"")</f>
        <v/>
      </c>
      <c r="L105" s="296" t="str">
        <f>+IFERROR(VLOOKUP($J105,'11 FORMULAS'!$B$51:$D$53,3,0),"")</f>
        <v/>
      </c>
      <c r="M105" s="351"/>
      <c r="N105" s="352" t="str">
        <f>+IFERROR(VLOOKUP($M105,'11 FORMULAS'!$B$54:$C$55,2,0),"")</f>
        <v/>
      </c>
      <c r="O105" s="353"/>
      <c r="P105" s="353"/>
      <c r="Q105" s="353"/>
      <c r="R105" s="353"/>
      <c r="S105" s="296" t="str">
        <f t="shared" si="3"/>
        <v/>
      </c>
      <c r="T105" s="296">
        <f>IF($L105='11 FORMULAS'!$D$51,$C$8-($C$8*$S$8),$C$8)</f>
        <v>0.6</v>
      </c>
      <c r="U105" s="296">
        <f>IF($L105='11 FORMULAS'!$D$53,D105-(D105*S105),D105)</f>
        <v>0</v>
      </c>
      <c r="V105" s="540"/>
      <c r="W105" s="541"/>
      <c r="X105" s="37"/>
      <c r="Y105" s="292"/>
      <c r="Z105" s="293"/>
      <c r="AA105" s="293"/>
    </row>
    <row r="106" spans="1:27" ht="29.45" hidden="1" customHeight="1" thickBot="1" x14ac:dyDescent="0.3">
      <c r="A106" s="518"/>
      <c r="B106" s="522"/>
      <c r="C106" s="515"/>
      <c r="D106" s="516"/>
      <c r="E106" s="350">
        <v>3</v>
      </c>
      <c r="F106" s="324"/>
      <c r="G106" s="321"/>
      <c r="H106" s="321"/>
      <c r="I106" s="283" t="str">
        <f t="shared" si="2"/>
        <v xml:space="preserve">  </v>
      </c>
      <c r="J106" s="206"/>
      <c r="K106" s="296" t="str">
        <f>+IFERROR(VLOOKUP($J106,'11 FORMULAS'!$B$51:$C$53,2,0),"")</f>
        <v/>
      </c>
      <c r="L106" s="296" t="str">
        <f>+IFERROR(VLOOKUP($J106,'11 FORMULAS'!$B$51:$D$53,3,0),"")</f>
        <v/>
      </c>
      <c r="M106" s="351"/>
      <c r="N106" s="352" t="str">
        <f>+IFERROR(VLOOKUP($M106,'11 FORMULAS'!$B$54:$C$55,2,0),"")</f>
        <v/>
      </c>
      <c r="O106" s="353"/>
      <c r="P106" s="353"/>
      <c r="Q106" s="353"/>
      <c r="R106" s="353"/>
      <c r="S106" s="296" t="str">
        <f t="shared" si="3"/>
        <v/>
      </c>
      <c r="T106" s="296">
        <f>IF($L106='11 FORMULAS'!$D$51,$C$8-($C$8*$S$8),$C$8)</f>
        <v>0.6</v>
      </c>
      <c r="U106" s="296">
        <f>IF($L106='11 FORMULAS'!$D$53,D106-(D106*S106),D106)</f>
        <v>0</v>
      </c>
      <c r="V106" s="540"/>
      <c r="W106" s="541"/>
      <c r="X106" s="37"/>
      <c r="Y106" s="292"/>
      <c r="Z106" s="293"/>
      <c r="AA106" s="293"/>
    </row>
    <row r="107" spans="1:27" ht="29.45" hidden="1" customHeight="1" thickBot="1" x14ac:dyDescent="0.3">
      <c r="A107" s="519"/>
      <c r="B107" s="523"/>
      <c r="C107" s="492"/>
      <c r="D107" s="495"/>
      <c r="E107" s="350">
        <v>4</v>
      </c>
      <c r="F107" s="325"/>
      <c r="G107" s="206"/>
      <c r="H107" s="206"/>
      <c r="I107" s="283" t="str">
        <f t="shared" si="2"/>
        <v xml:space="preserve">  </v>
      </c>
      <c r="J107" s="206"/>
      <c r="K107" s="296" t="str">
        <f>+IFERROR(VLOOKUP($J107,'11 FORMULAS'!$B$51:$C$53,2,0),"")</f>
        <v/>
      </c>
      <c r="L107" s="296" t="str">
        <f>+IFERROR(VLOOKUP($J107,'11 FORMULAS'!$B$51:$D$53,3,0),"")</f>
        <v/>
      </c>
      <c r="M107" s="351"/>
      <c r="N107" s="352" t="str">
        <f>+IFERROR(VLOOKUP($M107,'11 FORMULAS'!$B$54:$C$55,2,0),"")</f>
        <v/>
      </c>
      <c r="O107" s="353"/>
      <c r="P107" s="353"/>
      <c r="Q107" s="353"/>
      <c r="R107" s="353"/>
      <c r="S107" s="296" t="str">
        <f t="shared" si="3"/>
        <v/>
      </c>
      <c r="T107" s="296">
        <f>IF($L107='11 FORMULAS'!$D$51,$C$8-($C$8*$S$8),$C$8)</f>
        <v>0.6</v>
      </c>
      <c r="U107" s="296">
        <f>IF($L107='11 FORMULAS'!$D$53,D107-(D107*S107),D107)</f>
        <v>0</v>
      </c>
      <c r="V107" s="533"/>
      <c r="W107" s="536"/>
      <c r="X107" s="37"/>
      <c r="Y107" s="292"/>
      <c r="Z107" s="293"/>
      <c r="AA107" s="293"/>
    </row>
    <row r="108" spans="1:27" ht="29.45" hidden="1" customHeight="1" thickBot="1" x14ac:dyDescent="0.3">
      <c r="A108" s="519"/>
      <c r="B108" s="523"/>
      <c r="C108" s="492"/>
      <c r="D108" s="495"/>
      <c r="E108" s="350">
        <v>5</v>
      </c>
      <c r="F108" s="325"/>
      <c r="G108" s="206"/>
      <c r="H108" s="206"/>
      <c r="I108" s="283" t="str">
        <f t="shared" si="2"/>
        <v xml:space="preserve">  </v>
      </c>
      <c r="J108" s="206"/>
      <c r="K108" s="296" t="str">
        <f>+IFERROR(VLOOKUP($J108,'11 FORMULAS'!$B$51:$C$53,2,0),"")</f>
        <v/>
      </c>
      <c r="L108" s="296" t="str">
        <f>+IFERROR(VLOOKUP($J108,'11 FORMULAS'!$B$51:$D$53,3,0),"")</f>
        <v/>
      </c>
      <c r="M108" s="351"/>
      <c r="N108" s="352" t="str">
        <f>+IFERROR(VLOOKUP($M108,'11 FORMULAS'!$B$54:$C$55,2,0),"")</f>
        <v/>
      </c>
      <c r="O108" s="353"/>
      <c r="P108" s="353"/>
      <c r="Q108" s="353"/>
      <c r="R108" s="353"/>
      <c r="S108" s="296" t="str">
        <f t="shared" si="3"/>
        <v/>
      </c>
      <c r="T108" s="296">
        <f>IF($L108='11 FORMULAS'!$D$51,$C$8-($C$8*$S$8),$C$8)</f>
        <v>0.6</v>
      </c>
      <c r="U108" s="296">
        <f>IF($L108='11 FORMULAS'!$D$53,D108-(D108*S108),D108)</f>
        <v>0</v>
      </c>
      <c r="V108" s="533"/>
      <c r="W108" s="536"/>
      <c r="X108" s="37"/>
      <c r="Y108" s="292"/>
      <c r="Z108" s="293"/>
      <c r="AA108" s="293"/>
    </row>
    <row r="109" spans="1:27" ht="29.45" hidden="1" customHeight="1" thickBot="1" x14ac:dyDescent="0.3">
      <c r="A109" s="520"/>
      <c r="B109" s="524"/>
      <c r="C109" s="493"/>
      <c r="D109" s="496"/>
      <c r="E109" s="354">
        <v>6</v>
      </c>
      <c r="F109" s="328"/>
      <c r="G109" s="207"/>
      <c r="H109" s="207"/>
      <c r="I109" s="283" t="str">
        <f t="shared" si="2"/>
        <v xml:space="preserve">  </v>
      </c>
      <c r="J109" s="206"/>
      <c r="K109" s="296" t="str">
        <f>+IFERROR(VLOOKUP($J109,'11 FORMULAS'!$B$51:$C$53,2,0),"")</f>
        <v/>
      </c>
      <c r="L109" s="296" t="str">
        <f>+IFERROR(VLOOKUP($J109,'11 FORMULAS'!$B$51:$D$53,3,0),"")</f>
        <v/>
      </c>
      <c r="M109" s="351"/>
      <c r="N109" s="352" t="str">
        <f>+IFERROR(VLOOKUP($M109,'11 FORMULAS'!$B$54:$C$55,2,0),"")</f>
        <v/>
      </c>
      <c r="O109" s="353"/>
      <c r="P109" s="353"/>
      <c r="Q109" s="353"/>
      <c r="R109" s="353"/>
      <c r="S109" s="296" t="str">
        <f t="shared" si="3"/>
        <v/>
      </c>
      <c r="T109" s="296">
        <f>IF($L109='11 FORMULAS'!$D$51,$C$8-($C$8*$S$8),$C$8)</f>
        <v>0.6</v>
      </c>
      <c r="U109" s="296">
        <f>IF($L109='11 FORMULAS'!$D$53,D109-(D109*S109),D109)</f>
        <v>0</v>
      </c>
      <c r="V109" s="534"/>
      <c r="W109" s="537"/>
      <c r="X109" s="37"/>
    </row>
    <row r="110" spans="1:27" ht="29.45" hidden="1" customHeight="1" thickBot="1" x14ac:dyDescent="0.3">
      <c r="A110" s="517" t="str">
        <f>'2 CONTEXTO E IDENTIFICACIÓN'!A23</f>
        <v>R15</v>
      </c>
      <c r="B110" s="521" t="str">
        <f>+'2 CONTEXTO E IDENTIFICACIÓN'!J23</f>
        <v xml:space="preserve"> por a causa de </v>
      </c>
      <c r="C110" s="491" t="str">
        <f>+'3 PROBABIL E IMPACTO INHERENTE'!E26</f>
        <v/>
      </c>
      <c r="D110" s="494" t="str">
        <f>+'3 PROBABIL E IMPACTO INHERENTE'!M26</f>
        <v/>
      </c>
      <c r="E110" s="355">
        <v>1</v>
      </c>
      <c r="F110" s="326"/>
      <c r="G110" s="51"/>
      <c r="H110" s="51"/>
      <c r="I110" s="283" t="str">
        <f t="shared" si="2"/>
        <v xml:space="preserve">  </v>
      </c>
      <c r="J110" s="206"/>
      <c r="K110" s="296" t="str">
        <f>+IFERROR(VLOOKUP($J110,'11 FORMULAS'!$B$51:$C$53,2,0),"")</f>
        <v/>
      </c>
      <c r="L110" s="296" t="str">
        <f>+IFERROR(VLOOKUP($J110,'11 FORMULAS'!$B$51:$D$53,3,0),"")</f>
        <v/>
      </c>
      <c r="M110" s="351"/>
      <c r="N110" s="352" t="str">
        <f>+IFERROR(VLOOKUP($M110,'11 FORMULAS'!$B$54:$C$55,2,0),"")</f>
        <v/>
      </c>
      <c r="O110" s="353"/>
      <c r="P110" s="353"/>
      <c r="Q110" s="353"/>
      <c r="R110" s="353"/>
      <c r="S110" s="296" t="str">
        <f t="shared" si="3"/>
        <v/>
      </c>
      <c r="T110" s="296">
        <f>IF($L110='11 FORMULAS'!$D$51,$C$8-($C$8*$S$8),$C$8)</f>
        <v>0.6</v>
      </c>
      <c r="U110" s="296" t="str">
        <f>IF($L110='11 FORMULAS'!$D$53,D110-(D110*S110),D110)</f>
        <v/>
      </c>
      <c r="V110" s="532">
        <f>+IF(T115="","",T115)</f>
        <v>0.6</v>
      </c>
      <c r="W110" s="535">
        <f>+IF(U115="","",U115)</f>
        <v>0</v>
      </c>
      <c r="X110" s="37"/>
      <c r="Y110" s="292"/>
      <c r="Z110" s="293"/>
      <c r="AA110" s="293"/>
    </row>
    <row r="111" spans="1:27" ht="29.45" hidden="1" customHeight="1" thickBot="1" x14ac:dyDescent="0.3">
      <c r="A111" s="518"/>
      <c r="B111" s="522"/>
      <c r="C111" s="515"/>
      <c r="D111" s="516"/>
      <c r="E111" s="350">
        <v>2</v>
      </c>
      <c r="F111" s="324"/>
      <c r="G111" s="321"/>
      <c r="H111" s="321"/>
      <c r="I111" s="283" t="str">
        <f t="shared" si="2"/>
        <v xml:space="preserve">  </v>
      </c>
      <c r="J111" s="206"/>
      <c r="K111" s="296" t="str">
        <f>+IFERROR(VLOOKUP($J111,'11 FORMULAS'!$B$51:$C$53,2,0),"")</f>
        <v/>
      </c>
      <c r="L111" s="296" t="str">
        <f>+IFERROR(VLOOKUP($J111,'11 FORMULAS'!$B$51:$D$53,3,0),"")</f>
        <v/>
      </c>
      <c r="M111" s="351"/>
      <c r="N111" s="352" t="str">
        <f>+IFERROR(VLOOKUP($M111,'11 FORMULAS'!$B$54:$C$55,2,0),"")</f>
        <v/>
      </c>
      <c r="O111" s="353"/>
      <c r="P111" s="353"/>
      <c r="Q111" s="353"/>
      <c r="R111" s="353"/>
      <c r="S111" s="296" t="str">
        <f t="shared" si="3"/>
        <v/>
      </c>
      <c r="T111" s="296">
        <f>IF($L111='11 FORMULAS'!$D$51,$C$8-($C$8*$S$8),$C$8)</f>
        <v>0.6</v>
      </c>
      <c r="U111" s="296">
        <f>IF($L111='11 FORMULAS'!$D$53,D111-(D111*S111),D111)</f>
        <v>0</v>
      </c>
      <c r="V111" s="540"/>
      <c r="W111" s="541"/>
      <c r="X111" s="37"/>
      <c r="Y111" s="292"/>
      <c r="Z111" s="293"/>
      <c r="AA111" s="293"/>
    </row>
    <row r="112" spans="1:27" ht="29.45" hidden="1" customHeight="1" thickBot="1" x14ac:dyDescent="0.3">
      <c r="A112" s="518"/>
      <c r="B112" s="522"/>
      <c r="C112" s="515"/>
      <c r="D112" s="516"/>
      <c r="E112" s="350">
        <v>3</v>
      </c>
      <c r="F112" s="324"/>
      <c r="G112" s="321"/>
      <c r="H112" s="321"/>
      <c r="I112" s="283" t="str">
        <f t="shared" si="2"/>
        <v xml:space="preserve">  </v>
      </c>
      <c r="J112" s="206"/>
      <c r="K112" s="296" t="str">
        <f>+IFERROR(VLOOKUP($J112,'11 FORMULAS'!$B$51:$C$53,2,0),"")</f>
        <v/>
      </c>
      <c r="L112" s="296" t="str">
        <f>+IFERROR(VLOOKUP($J112,'11 FORMULAS'!$B$51:$D$53,3,0),"")</f>
        <v/>
      </c>
      <c r="M112" s="351"/>
      <c r="N112" s="352" t="str">
        <f>+IFERROR(VLOOKUP($M112,'11 FORMULAS'!$B$54:$C$55,2,0),"")</f>
        <v/>
      </c>
      <c r="O112" s="353"/>
      <c r="P112" s="353"/>
      <c r="Q112" s="353"/>
      <c r="R112" s="353"/>
      <c r="S112" s="296" t="str">
        <f t="shared" si="3"/>
        <v/>
      </c>
      <c r="T112" s="296">
        <f>IF($L112='11 FORMULAS'!$D$51,$C$8-($C$8*$S$8),$C$8)</f>
        <v>0.6</v>
      </c>
      <c r="U112" s="296">
        <f>IF($L112='11 FORMULAS'!$D$53,D112-(D112*S112),D112)</f>
        <v>0</v>
      </c>
      <c r="V112" s="540"/>
      <c r="W112" s="541"/>
      <c r="X112" s="37"/>
      <c r="Y112" s="292"/>
      <c r="Z112" s="293"/>
      <c r="AA112" s="293"/>
    </row>
    <row r="113" spans="1:27" ht="29.45" hidden="1" customHeight="1" thickBot="1" x14ac:dyDescent="0.3">
      <c r="A113" s="519"/>
      <c r="B113" s="523"/>
      <c r="C113" s="492"/>
      <c r="D113" s="495"/>
      <c r="E113" s="350">
        <v>4</v>
      </c>
      <c r="F113" s="325"/>
      <c r="G113" s="206"/>
      <c r="H113" s="206"/>
      <c r="I113" s="283" t="str">
        <f t="shared" si="2"/>
        <v xml:space="preserve">  </v>
      </c>
      <c r="J113" s="206"/>
      <c r="K113" s="296" t="str">
        <f>+IFERROR(VLOOKUP($J113,'11 FORMULAS'!$B$51:$C$53,2,0),"")</f>
        <v/>
      </c>
      <c r="L113" s="296" t="str">
        <f>+IFERROR(VLOOKUP($J113,'11 FORMULAS'!$B$51:$D$53,3,0),"")</f>
        <v/>
      </c>
      <c r="M113" s="351"/>
      <c r="N113" s="352" t="str">
        <f>+IFERROR(VLOOKUP($M113,'11 FORMULAS'!$B$54:$C$55,2,0),"")</f>
        <v/>
      </c>
      <c r="O113" s="353"/>
      <c r="P113" s="353"/>
      <c r="Q113" s="353"/>
      <c r="R113" s="353"/>
      <c r="S113" s="296" t="str">
        <f t="shared" si="3"/>
        <v/>
      </c>
      <c r="T113" s="296">
        <f>IF($L113='11 FORMULAS'!$D$51,$C$8-($C$8*$S$8),$C$8)</f>
        <v>0.6</v>
      </c>
      <c r="U113" s="296">
        <f>IF($L113='11 FORMULAS'!$D$53,D113-(D113*S113),D113)</f>
        <v>0</v>
      </c>
      <c r="V113" s="533"/>
      <c r="W113" s="536"/>
      <c r="X113" s="37"/>
      <c r="Y113" s="292"/>
      <c r="Z113" s="293"/>
      <c r="AA113" s="293"/>
    </row>
    <row r="114" spans="1:27" ht="29.45" hidden="1" customHeight="1" thickBot="1" x14ac:dyDescent="0.3">
      <c r="A114" s="519"/>
      <c r="B114" s="523"/>
      <c r="C114" s="492"/>
      <c r="D114" s="495"/>
      <c r="E114" s="350">
        <v>5</v>
      </c>
      <c r="F114" s="325"/>
      <c r="G114" s="206"/>
      <c r="H114" s="206"/>
      <c r="I114" s="283" t="str">
        <f t="shared" si="2"/>
        <v xml:space="preserve">  </v>
      </c>
      <c r="J114" s="206"/>
      <c r="K114" s="296" t="str">
        <f>+IFERROR(VLOOKUP($J114,'11 FORMULAS'!$B$51:$C$53,2,0),"")</f>
        <v/>
      </c>
      <c r="L114" s="296" t="str">
        <f>+IFERROR(VLOOKUP($J114,'11 FORMULAS'!$B$51:$D$53,3,0),"")</f>
        <v/>
      </c>
      <c r="M114" s="351"/>
      <c r="N114" s="352" t="str">
        <f>+IFERROR(VLOOKUP($M114,'11 FORMULAS'!$B$54:$C$55,2,0),"")</f>
        <v/>
      </c>
      <c r="O114" s="353"/>
      <c r="P114" s="353"/>
      <c r="Q114" s="353"/>
      <c r="R114" s="353"/>
      <c r="S114" s="296" t="str">
        <f t="shared" si="3"/>
        <v/>
      </c>
      <c r="T114" s="296">
        <f>IF($L114='11 FORMULAS'!$D$51,$C$8-($C$8*$S$8),$C$8)</f>
        <v>0.6</v>
      </c>
      <c r="U114" s="296">
        <f>IF($L114='11 FORMULAS'!$D$53,D114-(D114*S114),D114)</f>
        <v>0</v>
      </c>
      <c r="V114" s="533"/>
      <c r="W114" s="536"/>
      <c r="X114" s="37"/>
      <c r="Y114" s="292"/>
      <c r="Z114" s="293"/>
      <c r="AA114" s="293"/>
    </row>
    <row r="115" spans="1:27" ht="29.45" hidden="1" customHeight="1" thickBot="1" x14ac:dyDescent="0.3">
      <c r="A115" s="520"/>
      <c r="B115" s="524"/>
      <c r="C115" s="493"/>
      <c r="D115" s="496"/>
      <c r="E115" s="354">
        <v>6</v>
      </c>
      <c r="F115" s="328"/>
      <c r="G115" s="207"/>
      <c r="H115" s="207"/>
      <c r="I115" s="283" t="str">
        <f t="shared" si="2"/>
        <v xml:space="preserve">  </v>
      </c>
      <c r="J115" s="206"/>
      <c r="K115" s="296" t="str">
        <f>+IFERROR(VLOOKUP($J115,'11 FORMULAS'!$B$51:$C$53,2,0),"")</f>
        <v/>
      </c>
      <c r="L115" s="296" t="str">
        <f>+IFERROR(VLOOKUP($J115,'11 FORMULAS'!$B$51:$D$53,3,0),"")</f>
        <v/>
      </c>
      <c r="M115" s="351"/>
      <c r="N115" s="352" t="str">
        <f>+IFERROR(VLOOKUP($M115,'11 FORMULAS'!$B$54:$C$55,2,0),"")</f>
        <v/>
      </c>
      <c r="O115" s="353"/>
      <c r="P115" s="353"/>
      <c r="Q115" s="353"/>
      <c r="R115" s="353"/>
      <c r="S115" s="296" t="str">
        <f t="shared" si="3"/>
        <v/>
      </c>
      <c r="T115" s="296">
        <f>IF($L115='11 FORMULAS'!$D$51,$C$8-($C$8*$S$8),$C$8)</f>
        <v>0.6</v>
      </c>
      <c r="U115" s="296">
        <f>IF($L115='11 FORMULAS'!$D$53,D115-(D115*S115),D115)</f>
        <v>0</v>
      </c>
      <c r="V115" s="534"/>
      <c r="W115" s="537"/>
      <c r="X115" s="37"/>
    </row>
    <row r="116" spans="1:27" ht="29.45" hidden="1" customHeight="1" thickBot="1" x14ac:dyDescent="0.3">
      <c r="A116" s="517" t="str">
        <f>'2 CONTEXTO E IDENTIFICACIÓN'!A24</f>
        <v>R16</v>
      </c>
      <c r="B116" s="521" t="str">
        <f>+'2 CONTEXTO E IDENTIFICACIÓN'!J24</f>
        <v xml:space="preserve"> por a causa de </v>
      </c>
      <c r="C116" s="491" t="str">
        <f>+'3 PROBABIL E IMPACTO INHERENTE'!E27</f>
        <v/>
      </c>
      <c r="D116" s="494" t="str">
        <f>+'3 PROBABIL E IMPACTO INHERENTE'!M27</f>
        <v/>
      </c>
      <c r="E116" s="355">
        <v>1</v>
      </c>
      <c r="F116" s="326"/>
      <c r="G116" s="51"/>
      <c r="H116" s="51"/>
      <c r="I116" s="283" t="str">
        <f t="shared" si="2"/>
        <v xml:space="preserve">  </v>
      </c>
      <c r="J116" s="206"/>
      <c r="K116" s="296" t="str">
        <f>+IFERROR(VLOOKUP($J116,'11 FORMULAS'!$B$51:$C$53,2,0),"")</f>
        <v/>
      </c>
      <c r="L116" s="296" t="str">
        <f>+IFERROR(VLOOKUP($J116,'11 FORMULAS'!$B$51:$D$53,3,0),"")</f>
        <v/>
      </c>
      <c r="M116" s="351"/>
      <c r="N116" s="352" t="str">
        <f>+IFERROR(VLOOKUP($M116,'11 FORMULAS'!$B$54:$C$55,2,0),"")</f>
        <v/>
      </c>
      <c r="O116" s="353"/>
      <c r="P116" s="353"/>
      <c r="Q116" s="353"/>
      <c r="R116" s="353"/>
      <c r="S116" s="296" t="str">
        <f t="shared" si="3"/>
        <v/>
      </c>
      <c r="T116" s="296">
        <f>IF($L116='11 FORMULAS'!$D$51,$C$8-($C$8*$S$8),$C$8)</f>
        <v>0.6</v>
      </c>
      <c r="U116" s="296" t="str">
        <f>IF($L116='11 FORMULAS'!$D$53,D116-(D116*S116),D116)</f>
        <v/>
      </c>
      <c r="V116" s="532">
        <f>+IF(T121="","",T121)</f>
        <v>0.6</v>
      </c>
      <c r="W116" s="535">
        <f>+IF(U121="","",U121)</f>
        <v>0</v>
      </c>
      <c r="X116" s="37"/>
      <c r="Y116" s="292"/>
      <c r="Z116" s="293"/>
      <c r="AA116" s="293"/>
    </row>
    <row r="117" spans="1:27" ht="29.45" hidden="1" customHeight="1" thickBot="1" x14ac:dyDescent="0.3">
      <c r="A117" s="518"/>
      <c r="B117" s="522"/>
      <c r="C117" s="515"/>
      <c r="D117" s="516"/>
      <c r="E117" s="350">
        <v>2</v>
      </c>
      <c r="F117" s="324"/>
      <c r="G117" s="321"/>
      <c r="H117" s="321"/>
      <c r="I117" s="283" t="str">
        <f t="shared" si="2"/>
        <v xml:space="preserve">  </v>
      </c>
      <c r="J117" s="206"/>
      <c r="K117" s="296" t="str">
        <f>+IFERROR(VLOOKUP($J117,'11 FORMULAS'!$B$51:$C$53,2,0),"")</f>
        <v/>
      </c>
      <c r="L117" s="296" t="str">
        <f>+IFERROR(VLOOKUP($J117,'11 FORMULAS'!$B$51:$D$53,3,0),"")</f>
        <v/>
      </c>
      <c r="M117" s="351"/>
      <c r="N117" s="352" t="str">
        <f>+IFERROR(VLOOKUP($M117,'11 FORMULAS'!$B$54:$C$55,2,0),"")</f>
        <v/>
      </c>
      <c r="O117" s="353"/>
      <c r="P117" s="353"/>
      <c r="Q117" s="353"/>
      <c r="R117" s="353"/>
      <c r="S117" s="296" t="str">
        <f t="shared" si="3"/>
        <v/>
      </c>
      <c r="T117" s="296">
        <f>IF($L117='11 FORMULAS'!$D$51,$C$8-($C$8*$S$8),$C$8)</f>
        <v>0.6</v>
      </c>
      <c r="U117" s="296">
        <f>IF($L117='11 FORMULAS'!$D$53,D117-(D117*S117),D117)</f>
        <v>0</v>
      </c>
      <c r="V117" s="540"/>
      <c r="W117" s="541"/>
      <c r="X117" s="37"/>
      <c r="Y117" s="292"/>
      <c r="Z117" s="293"/>
      <c r="AA117" s="293"/>
    </row>
    <row r="118" spans="1:27" ht="29.45" hidden="1" customHeight="1" thickBot="1" x14ac:dyDescent="0.3">
      <c r="A118" s="518"/>
      <c r="B118" s="522"/>
      <c r="C118" s="515"/>
      <c r="D118" s="516"/>
      <c r="E118" s="350">
        <v>3</v>
      </c>
      <c r="F118" s="324"/>
      <c r="G118" s="321"/>
      <c r="H118" s="321"/>
      <c r="I118" s="283" t="str">
        <f t="shared" si="2"/>
        <v xml:space="preserve">  </v>
      </c>
      <c r="J118" s="206"/>
      <c r="K118" s="296" t="str">
        <f>+IFERROR(VLOOKUP($J118,'11 FORMULAS'!$B$51:$C$53,2,0),"")</f>
        <v/>
      </c>
      <c r="L118" s="296" t="str">
        <f>+IFERROR(VLOOKUP($J118,'11 FORMULAS'!$B$51:$D$53,3,0),"")</f>
        <v/>
      </c>
      <c r="M118" s="351"/>
      <c r="N118" s="352" t="str">
        <f>+IFERROR(VLOOKUP($M118,'11 FORMULAS'!$B$54:$C$55,2,0),"")</f>
        <v/>
      </c>
      <c r="O118" s="353"/>
      <c r="P118" s="353"/>
      <c r="Q118" s="353"/>
      <c r="R118" s="353"/>
      <c r="S118" s="296" t="str">
        <f t="shared" si="3"/>
        <v/>
      </c>
      <c r="T118" s="296">
        <f>IF($L118='11 FORMULAS'!$D$51,$C$8-($C$8*$S$8),$C$8)</f>
        <v>0.6</v>
      </c>
      <c r="U118" s="296">
        <f>IF($L118='11 FORMULAS'!$D$53,D118-(D118*S118),D118)</f>
        <v>0</v>
      </c>
      <c r="V118" s="540"/>
      <c r="W118" s="541"/>
      <c r="X118" s="37"/>
      <c r="Y118" s="292"/>
      <c r="Z118" s="293"/>
      <c r="AA118" s="293"/>
    </row>
    <row r="119" spans="1:27" ht="29.45" hidden="1" customHeight="1" thickBot="1" x14ac:dyDescent="0.3">
      <c r="A119" s="519"/>
      <c r="B119" s="523"/>
      <c r="C119" s="492"/>
      <c r="D119" s="495"/>
      <c r="E119" s="350">
        <v>4</v>
      </c>
      <c r="F119" s="325"/>
      <c r="G119" s="206"/>
      <c r="H119" s="206"/>
      <c r="I119" s="283" t="str">
        <f t="shared" si="2"/>
        <v xml:space="preserve">  </v>
      </c>
      <c r="J119" s="206"/>
      <c r="K119" s="296" t="str">
        <f>+IFERROR(VLOOKUP($J119,'11 FORMULAS'!$B$51:$C$53,2,0),"")</f>
        <v/>
      </c>
      <c r="L119" s="296" t="str">
        <f>+IFERROR(VLOOKUP($J119,'11 FORMULAS'!$B$51:$D$53,3,0),"")</f>
        <v/>
      </c>
      <c r="M119" s="351"/>
      <c r="N119" s="352" t="str">
        <f>+IFERROR(VLOOKUP($M119,'11 FORMULAS'!$B$54:$C$55,2,0),"")</f>
        <v/>
      </c>
      <c r="O119" s="353"/>
      <c r="P119" s="353"/>
      <c r="Q119" s="353"/>
      <c r="R119" s="353"/>
      <c r="S119" s="296" t="str">
        <f t="shared" si="3"/>
        <v/>
      </c>
      <c r="T119" s="296">
        <f>IF($L119='11 FORMULAS'!$D$51,$C$8-($C$8*$S$8),$C$8)</f>
        <v>0.6</v>
      </c>
      <c r="U119" s="296">
        <f>IF($L119='11 FORMULAS'!$D$53,D119-(D119*S119),D119)</f>
        <v>0</v>
      </c>
      <c r="V119" s="533"/>
      <c r="W119" s="536"/>
      <c r="X119" s="37"/>
      <c r="Y119" s="292"/>
      <c r="Z119" s="293"/>
      <c r="AA119" s="293"/>
    </row>
    <row r="120" spans="1:27" ht="29.45" hidden="1" customHeight="1" thickBot="1" x14ac:dyDescent="0.3">
      <c r="A120" s="519"/>
      <c r="B120" s="523"/>
      <c r="C120" s="492"/>
      <c r="D120" s="495"/>
      <c r="E120" s="350">
        <v>5</v>
      </c>
      <c r="F120" s="325"/>
      <c r="G120" s="206"/>
      <c r="H120" s="206"/>
      <c r="I120" s="283" t="str">
        <f t="shared" si="2"/>
        <v xml:space="preserve">  </v>
      </c>
      <c r="J120" s="206"/>
      <c r="K120" s="296" t="str">
        <f>+IFERROR(VLOOKUP($J120,'11 FORMULAS'!$B$51:$C$53,2,0),"")</f>
        <v/>
      </c>
      <c r="L120" s="296" t="str">
        <f>+IFERROR(VLOOKUP($J120,'11 FORMULAS'!$B$51:$D$53,3,0),"")</f>
        <v/>
      </c>
      <c r="M120" s="351"/>
      <c r="N120" s="352" t="str">
        <f>+IFERROR(VLOOKUP($M120,'11 FORMULAS'!$B$54:$C$55,2,0),"")</f>
        <v/>
      </c>
      <c r="O120" s="353"/>
      <c r="P120" s="353"/>
      <c r="Q120" s="353"/>
      <c r="R120" s="353"/>
      <c r="S120" s="296" t="str">
        <f t="shared" si="3"/>
        <v/>
      </c>
      <c r="T120" s="296">
        <f>IF($L120='11 FORMULAS'!$D$51,$C$8-($C$8*$S$8),$C$8)</f>
        <v>0.6</v>
      </c>
      <c r="U120" s="296">
        <f>IF($L120='11 FORMULAS'!$D$53,D120-(D120*S120),D120)</f>
        <v>0</v>
      </c>
      <c r="V120" s="533"/>
      <c r="W120" s="536"/>
      <c r="X120" s="37"/>
      <c r="Y120" s="292"/>
      <c r="Z120" s="293"/>
      <c r="AA120" s="293"/>
    </row>
    <row r="121" spans="1:27" ht="29.45" hidden="1" customHeight="1" thickBot="1" x14ac:dyDescent="0.3">
      <c r="A121" s="520"/>
      <c r="B121" s="524"/>
      <c r="C121" s="493"/>
      <c r="D121" s="496"/>
      <c r="E121" s="354">
        <v>6</v>
      </c>
      <c r="F121" s="328"/>
      <c r="G121" s="207"/>
      <c r="H121" s="207"/>
      <c r="I121" s="283" t="str">
        <f t="shared" si="2"/>
        <v xml:space="preserve">  </v>
      </c>
      <c r="J121" s="206"/>
      <c r="K121" s="296" t="str">
        <f>+IFERROR(VLOOKUP($J121,'11 FORMULAS'!$B$51:$C$53,2,0),"")</f>
        <v/>
      </c>
      <c r="L121" s="296" t="str">
        <f>+IFERROR(VLOOKUP($J121,'11 FORMULAS'!$B$51:$D$53,3,0),"")</f>
        <v/>
      </c>
      <c r="M121" s="351"/>
      <c r="N121" s="352" t="str">
        <f>+IFERROR(VLOOKUP($M121,'11 FORMULAS'!$B$54:$C$55,2,0),"")</f>
        <v/>
      </c>
      <c r="O121" s="353"/>
      <c r="P121" s="353"/>
      <c r="Q121" s="353"/>
      <c r="R121" s="353"/>
      <c r="S121" s="296" t="str">
        <f t="shared" si="3"/>
        <v/>
      </c>
      <c r="T121" s="296">
        <f>IF($L121='11 FORMULAS'!$D$51,$C$8-($C$8*$S$8),$C$8)</f>
        <v>0.6</v>
      </c>
      <c r="U121" s="296">
        <f>IF($L121='11 FORMULAS'!$D$53,D121-(D121*S121),D121)</f>
        <v>0</v>
      </c>
      <c r="V121" s="534"/>
      <c r="W121" s="537"/>
      <c r="X121" s="37"/>
    </row>
    <row r="122" spans="1:27" ht="29.45" hidden="1" customHeight="1" thickBot="1" x14ac:dyDescent="0.3">
      <c r="A122" s="517" t="str">
        <f>'2 CONTEXTO E IDENTIFICACIÓN'!A25</f>
        <v>R17</v>
      </c>
      <c r="B122" s="521" t="str">
        <f>+'2 CONTEXTO E IDENTIFICACIÓN'!J25</f>
        <v xml:space="preserve"> por a causa de </v>
      </c>
      <c r="C122" s="491" t="str">
        <f>+'3 PROBABIL E IMPACTO INHERENTE'!E28</f>
        <v/>
      </c>
      <c r="D122" s="494" t="str">
        <f>+'3 PROBABIL E IMPACTO INHERENTE'!M28</f>
        <v/>
      </c>
      <c r="E122" s="355">
        <v>1</v>
      </c>
      <c r="F122" s="326"/>
      <c r="G122" s="51"/>
      <c r="H122" s="51"/>
      <c r="I122" s="283" t="str">
        <f t="shared" si="2"/>
        <v xml:space="preserve">  </v>
      </c>
      <c r="J122" s="206"/>
      <c r="K122" s="296" t="str">
        <f>+IFERROR(VLOOKUP($J122,'11 FORMULAS'!$B$51:$C$53,2,0),"")</f>
        <v/>
      </c>
      <c r="L122" s="296" t="str">
        <f>+IFERROR(VLOOKUP($J122,'11 FORMULAS'!$B$51:$D$53,3,0),"")</f>
        <v/>
      </c>
      <c r="M122" s="351"/>
      <c r="N122" s="352" t="str">
        <f>+IFERROR(VLOOKUP($M122,'11 FORMULAS'!$B$54:$C$55,2,0),"")</f>
        <v/>
      </c>
      <c r="O122" s="353"/>
      <c r="P122" s="353"/>
      <c r="Q122" s="353"/>
      <c r="R122" s="353"/>
      <c r="S122" s="296" t="str">
        <f t="shared" si="3"/>
        <v/>
      </c>
      <c r="T122" s="296">
        <f>IF($L122='11 FORMULAS'!$D$51,$C$8-($C$8*$S$8),$C$8)</f>
        <v>0.6</v>
      </c>
      <c r="U122" s="296" t="str">
        <f>IF($L122='11 FORMULAS'!$D$53,D122-(D122*S122),D122)</f>
        <v/>
      </c>
      <c r="V122" s="532">
        <f>+IF(T127="","",T127)</f>
        <v>0.6</v>
      </c>
      <c r="W122" s="535">
        <f>+IF(U127="","",U127)</f>
        <v>0</v>
      </c>
      <c r="X122" s="37"/>
      <c r="Y122" s="292"/>
      <c r="Z122" s="293"/>
      <c r="AA122" s="293"/>
    </row>
    <row r="123" spans="1:27" ht="29.45" hidden="1" customHeight="1" thickBot="1" x14ac:dyDescent="0.3">
      <c r="A123" s="518"/>
      <c r="B123" s="522"/>
      <c r="C123" s="515"/>
      <c r="D123" s="516"/>
      <c r="E123" s="350">
        <v>2</v>
      </c>
      <c r="F123" s="324"/>
      <c r="G123" s="321"/>
      <c r="H123" s="321"/>
      <c r="I123" s="283" t="str">
        <f t="shared" si="2"/>
        <v xml:space="preserve">  </v>
      </c>
      <c r="J123" s="206"/>
      <c r="K123" s="296" t="str">
        <f>+IFERROR(VLOOKUP($J123,'11 FORMULAS'!$B$51:$C$53,2,0),"")</f>
        <v/>
      </c>
      <c r="L123" s="296" t="str">
        <f>+IFERROR(VLOOKUP($J123,'11 FORMULAS'!$B$51:$D$53,3,0),"")</f>
        <v/>
      </c>
      <c r="M123" s="351"/>
      <c r="N123" s="352" t="str">
        <f>+IFERROR(VLOOKUP($M123,'11 FORMULAS'!$B$54:$C$55,2,0),"")</f>
        <v/>
      </c>
      <c r="O123" s="353"/>
      <c r="P123" s="353"/>
      <c r="Q123" s="353"/>
      <c r="R123" s="353"/>
      <c r="S123" s="296" t="str">
        <f t="shared" si="3"/>
        <v/>
      </c>
      <c r="T123" s="296">
        <f>IF($L123='11 FORMULAS'!$D$51,$C$8-($C$8*$S$8),$C$8)</f>
        <v>0.6</v>
      </c>
      <c r="U123" s="296">
        <f>IF($L123='11 FORMULAS'!$D$53,D123-(D123*S123),D123)</f>
        <v>0</v>
      </c>
      <c r="V123" s="540"/>
      <c r="W123" s="541"/>
      <c r="X123" s="37"/>
      <c r="Y123" s="292"/>
      <c r="Z123" s="293"/>
      <c r="AA123" s="293"/>
    </row>
    <row r="124" spans="1:27" ht="29.45" hidden="1" customHeight="1" thickBot="1" x14ac:dyDescent="0.3">
      <c r="A124" s="518"/>
      <c r="B124" s="522"/>
      <c r="C124" s="515"/>
      <c r="D124" s="516"/>
      <c r="E124" s="350">
        <v>3</v>
      </c>
      <c r="F124" s="324"/>
      <c r="G124" s="321"/>
      <c r="H124" s="321"/>
      <c r="I124" s="283" t="str">
        <f t="shared" si="2"/>
        <v xml:space="preserve">  </v>
      </c>
      <c r="J124" s="206"/>
      <c r="K124" s="296" t="str">
        <f>+IFERROR(VLOOKUP($J124,'11 FORMULAS'!$B$51:$C$53,2,0),"")</f>
        <v/>
      </c>
      <c r="L124" s="296" t="str">
        <f>+IFERROR(VLOOKUP($J124,'11 FORMULAS'!$B$51:$D$53,3,0),"")</f>
        <v/>
      </c>
      <c r="M124" s="351"/>
      <c r="N124" s="352" t="str">
        <f>+IFERROR(VLOOKUP($M124,'11 FORMULAS'!$B$54:$C$55,2,0),"")</f>
        <v/>
      </c>
      <c r="O124" s="353"/>
      <c r="P124" s="353"/>
      <c r="Q124" s="353"/>
      <c r="R124" s="353"/>
      <c r="S124" s="296" t="str">
        <f t="shared" si="3"/>
        <v/>
      </c>
      <c r="T124" s="296">
        <f>IF($L124='11 FORMULAS'!$D$51,$C$8-($C$8*$S$8),$C$8)</f>
        <v>0.6</v>
      </c>
      <c r="U124" s="296">
        <f>IF($L124='11 FORMULAS'!$D$53,D124-(D124*S124),D124)</f>
        <v>0</v>
      </c>
      <c r="V124" s="540"/>
      <c r="W124" s="541"/>
      <c r="X124" s="37"/>
      <c r="Y124" s="292"/>
      <c r="Z124" s="293"/>
      <c r="AA124" s="293"/>
    </row>
    <row r="125" spans="1:27" ht="29.45" hidden="1" customHeight="1" thickBot="1" x14ac:dyDescent="0.3">
      <c r="A125" s="519"/>
      <c r="B125" s="523"/>
      <c r="C125" s="492"/>
      <c r="D125" s="495"/>
      <c r="E125" s="350">
        <v>4</v>
      </c>
      <c r="F125" s="325"/>
      <c r="G125" s="206"/>
      <c r="H125" s="206"/>
      <c r="I125" s="283" t="str">
        <f t="shared" si="2"/>
        <v xml:space="preserve">  </v>
      </c>
      <c r="J125" s="206"/>
      <c r="K125" s="296" t="str">
        <f>+IFERROR(VLOOKUP($J125,'11 FORMULAS'!$B$51:$C$53,2,0),"")</f>
        <v/>
      </c>
      <c r="L125" s="296" t="str">
        <f>+IFERROR(VLOOKUP($J125,'11 FORMULAS'!$B$51:$D$53,3,0),"")</f>
        <v/>
      </c>
      <c r="M125" s="351"/>
      <c r="N125" s="352" t="str">
        <f>+IFERROR(VLOOKUP($M125,'11 FORMULAS'!$B$54:$C$55,2,0),"")</f>
        <v/>
      </c>
      <c r="O125" s="353"/>
      <c r="P125" s="353"/>
      <c r="Q125" s="353"/>
      <c r="R125" s="353"/>
      <c r="S125" s="296" t="str">
        <f t="shared" si="3"/>
        <v/>
      </c>
      <c r="T125" s="296">
        <f>IF($L125='11 FORMULAS'!$D$51,$C$8-($C$8*$S$8),$C$8)</f>
        <v>0.6</v>
      </c>
      <c r="U125" s="296">
        <f>IF($L125='11 FORMULAS'!$D$53,D125-(D125*S125),D125)</f>
        <v>0</v>
      </c>
      <c r="V125" s="533"/>
      <c r="W125" s="536"/>
      <c r="X125" s="37"/>
      <c r="Y125" s="292"/>
      <c r="Z125" s="293"/>
      <c r="AA125" s="293"/>
    </row>
    <row r="126" spans="1:27" ht="29.45" hidden="1" customHeight="1" thickBot="1" x14ac:dyDescent="0.3">
      <c r="A126" s="519"/>
      <c r="B126" s="523"/>
      <c r="C126" s="492"/>
      <c r="D126" s="495"/>
      <c r="E126" s="350">
        <v>5</v>
      </c>
      <c r="F126" s="325"/>
      <c r="G126" s="206"/>
      <c r="H126" s="206"/>
      <c r="I126" s="283" t="str">
        <f t="shared" si="2"/>
        <v xml:space="preserve">  </v>
      </c>
      <c r="J126" s="206"/>
      <c r="K126" s="296" t="str">
        <f>+IFERROR(VLOOKUP($J126,'11 FORMULAS'!$B$51:$C$53,2,0),"")</f>
        <v/>
      </c>
      <c r="L126" s="296" t="str">
        <f>+IFERROR(VLOOKUP($J126,'11 FORMULAS'!$B$51:$D$53,3,0),"")</f>
        <v/>
      </c>
      <c r="M126" s="351"/>
      <c r="N126" s="352" t="str">
        <f>+IFERROR(VLOOKUP($M126,'11 FORMULAS'!$B$54:$C$55,2,0),"")</f>
        <v/>
      </c>
      <c r="O126" s="353"/>
      <c r="P126" s="353"/>
      <c r="Q126" s="353"/>
      <c r="R126" s="353"/>
      <c r="S126" s="296" t="str">
        <f t="shared" si="3"/>
        <v/>
      </c>
      <c r="T126" s="296">
        <f>IF($L126='11 FORMULAS'!$D$51,$C$8-($C$8*$S$8),$C$8)</f>
        <v>0.6</v>
      </c>
      <c r="U126" s="296">
        <f>IF($L126='11 FORMULAS'!$D$53,D126-(D126*S126),D126)</f>
        <v>0</v>
      </c>
      <c r="V126" s="533"/>
      <c r="W126" s="536"/>
      <c r="X126" s="37"/>
      <c r="Y126" s="292"/>
      <c r="Z126" s="293"/>
      <c r="AA126" s="293"/>
    </row>
    <row r="127" spans="1:27" ht="29.45" hidden="1" customHeight="1" thickBot="1" x14ac:dyDescent="0.3">
      <c r="A127" s="520"/>
      <c r="B127" s="524"/>
      <c r="C127" s="493"/>
      <c r="D127" s="496"/>
      <c r="E127" s="354">
        <v>6</v>
      </c>
      <c r="F127" s="328"/>
      <c r="G127" s="207"/>
      <c r="H127" s="207"/>
      <c r="I127" s="283" t="str">
        <f t="shared" si="2"/>
        <v xml:space="preserve">  </v>
      </c>
      <c r="J127" s="206"/>
      <c r="K127" s="296" t="str">
        <f>+IFERROR(VLOOKUP($J127,'11 FORMULAS'!$B$51:$C$53,2,0),"")</f>
        <v/>
      </c>
      <c r="L127" s="296" t="str">
        <f>+IFERROR(VLOOKUP($J127,'11 FORMULAS'!$B$51:$D$53,3,0),"")</f>
        <v/>
      </c>
      <c r="M127" s="351"/>
      <c r="N127" s="352" t="str">
        <f>+IFERROR(VLOOKUP($M127,'11 FORMULAS'!$B$54:$C$55,2,0),"")</f>
        <v/>
      </c>
      <c r="O127" s="353"/>
      <c r="P127" s="353"/>
      <c r="Q127" s="353"/>
      <c r="R127" s="353"/>
      <c r="S127" s="296" t="str">
        <f t="shared" si="3"/>
        <v/>
      </c>
      <c r="T127" s="296">
        <f>IF($L127='11 FORMULAS'!$D$51,$C$8-($C$8*$S$8),$C$8)</f>
        <v>0.6</v>
      </c>
      <c r="U127" s="296">
        <f>IF($L127='11 FORMULAS'!$D$53,D127-(D127*S127),D127)</f>
        <v>0</v>
      </c>
      <c r="V127" s="534"/>
      <c r="W127" s="537"/>
      <c r="X127" s="37"/>
    </row>
  </sheetData>
  <sheetProtection formatCells="0" formatColumns="0" formatRows="0" sort="0" autoFilter="0" pivotTables="0"/>
  <autoFilter ref="A7:X127" xr:uid="{00000000-0009-0000-0000-000005000000}"/>
  <dataConsolidate/>
  <mergeCells count="136">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C56:C61"/>
    <mergeCell ref="D56:D61"/>
    <mergeCell ref="A44:A49"/>
    <mergeCell ref="B44:B49"/>
    <mergeCell ref="C62:C67"/>
    <mergeCell ref="D62:D67"/>
    <mergeCell ref="C44:C49"/>
    <mergeCell ref="D44:D49"/>
    <mergeCell ref="C50:C55"/>
    <mergeCell ref="D50:D55"/>
    <mergeCell ref="A56:A61"/>
    <mergeCell ref="B56:B61"/>
    <mergeCell ref="A62:A67"/>
    <mergeCell ref="B62:B67"/>
    <mergeCell ref="C38:C43"/>
    <mergeCell ref="D38:D43"/>
    <mergeCell ref="A32:A37"/>
    <mergeCell ref="B32:B37"/>
    <mergeCell ref="C32:C37"/>
    <mergeCell ref="D32:D37"/>
    <mergeCell ref="A8:A13"/>
    <mergeCell ref="B8:B13"/>
    <mergeCell ref="A26:A31"/>
    <mergeCell ref="B26:B31"/>
    <mergeCell ref="C26:C31"/>
    <mergeCell ref="D26:D31"/>
    <mergeCell ref="A14:A19"/>
    <mergeCell ref="B14:B19"/>
    <mergeCell ref="C14:C19"/>
    <mergeCell ref="D14:D19"/>
    <mergeCell ref="A20:A25"/>
    <mergeCell ref="B20:B25"/>
    <mergeCell ref="C20:C25"/>
    <mergeCell ref="D20:D25"/>
    <mergeCell ref="A38:A43"/>
    <mergeCell ref="B38:B43"/>
    <mergeCell ref="C6:C7"/>
    <mergeCell ref="C8:C13"/>
    <mergeCell ref="D6:D7"/>
    <mergeCell ref="D8:D13"/>
    <mergeCell ref="S4:S6"/>
    <mergeCell ref="T4:T6"/>
    <mergeCell ref="U4:U6"/>
    <mergeCell ref="A1:A2"/>
    <mergeCell ref="B1:B2"/>
    <mergeCell ref="A6:A7"/>
    <mergeCell ref="B6:B7"/>
    <mergeCell ref="E6:E7"/>
    <mergeCell ref="J6:N6"/>
    <mergeCell ref="F6:H6"/>
    <mergeCell ref="O6:R6"/>
    <mergeCell ref="J5:R5"/>
    <mergeCell ref="C1:D1"/>
  </mergeCells>
  <phoneticPr fontId="0" type="noConversion"/>
  <conditionalFormatting sqref="C8:D8 V8:W8 C14:D14 V14:W14 C20:D20 V20:W20 C26:D26 V26:W26 C32:D34 V32:W34 C38:D40 V38:W40 C44:D44 V44:W44 V50:W50 C56:D56 V56:W56 C62:D62 V62:W62 C68:D70 V68:W70 C74:D74 V74:W74 C80:D80 V80:W80 C86:D86 V86:W86 C92:D92 V92:W92 C98:D98 V98:W98 C104:D106 V104:W106 C110:D112 V110:W112 C116:D118 V116:W118 C122:D124 V122:W124">
    <cfRule type="cellIs" dxfId="55" priority="274" operator="between">
      <formula>$Z$6</formula>
      <formula>$AA$6</formula>
    </cfRule>
    <cfRule type="cellIs" dxfId="54" priority="275" operator="between">
      <formula>$Z$7</formula>
      <formula>$AA$7</formula>
    </cfRule>
    <cfRule type="cellIs" dxfId="53" priority="276" operator="between">
      <formula>$Z$8</formula>
      <formula>$AA$8</formula>
    </cfRule>
    <cfRule type="cellIs" dxfId="52" priority="277" operator="between">
      <formula>$Z$9</formula>
      <formula>$AA$9</formula>
    </cfRule>
    <cfRule type="cellIs" dxfId="51" priority="278" operator="between">
      <formula>$Z$10</formula>
      <formula>$AA$10</formula>
    </cfRule>
  </conditionalFormatting>
  <conditionalFormatting sqref="C50:D50">
    <cfRule type="cellIs" dxfId="50" priority="1" operator="between">
      <formula>$Z$6</formula>
      <formula>$AA$6</formula>
    </cfRule>
    <cfRule type="cellIs" dxfId="49" priority="2" operator="between">
      <formula>$Z$7</formula>
      <formula>$AA$7</formula>
    </cfRule>
    <cfRule type="cellIs" dxfId="48" priority="3" operator="between">
      <formula>$Z$8</formula>
      <formula>$AA$8</formula>
    </cfRule>
    <cfRule type="cellIs" dxfId="47" priority="4" operator="between">
      <formula>$Z$9</formula>
      <formula>$AA$9</formula>
    </cfRule>
    <cfRule type="cellIs" dxfId="46" priority="5"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1" manualBreakCount="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9" activePane="bottomRight" state="frozen"/>
      <selection pane="topRight" activeCell="B1" sqref="B1"/>
      <selection pane="bottomLeft" activeCell="A7" sqref="A7"/>
      <selection pane="bottomRight" activeCell="A9" sqref="A9"/>
    </sheetView>
  </sheetViews>
  <sheetFormatPr baseColWidth="10" defaultColWidth="0" defaultRowHeight="12.75" zeroHeight="1" x14ac:dyDescent="0.25"/>
  <cols>
    <col min="1" max="1" width="11.42578125" style="67" customWidth="1"/>
    <col min="2" max="2" width="30.42578125" style="72" customWidth="1"/>
    <col min="3" max="3" width="13.42578125" style="72" customWidth="1"/>
    <col min="4" max="4" width="13" style="72" customWidth="1"/>
    <col min="5" max="5" width="16.42578125" style="117" customWidth="1"/>
    <col min="6" max="6" width="11.28515625" style="117" customWidth="1"/>
    <col min="7" max="7" width="15.42578125" style="72" customWidth="1"/>
    <col min="8" max="8" width="10.140625" style="72" bestFit="1" customWidth="1"/>
    <col min="9" max="9" width="7.42578125" style="72" customWidth="1"/>
    <col min="10" max="10" width="14" style="72" customWidth="1"/>
    <col min="11" max="15" width="12.42578125" style="72" customWidth="1"/>
    <col min="16" max="16" width="3.85546875" style="72" customWidth="1"/>
    <col min="17" max="17" width="4.85546875" style="67" customWidth="1"/>
    <col min="18" max="18" width="5.85546875" style="67" bestFit="1" customWidth="1"/>
    <col min="19" max="24" width="14" style="67" customWidth="1"/>
    <col min="25" max="25" width="11.42578125" style="67" customWidth="1"/>
    <col min="26" max="29" width="11.42578125" style="67" hidden="1" customWidth="1"/>
    <col min="30" max="30" width="5.42578125" style="67" hidden="1" customWidth="1"/>
    <col min="31" max="31" width="26.85546875" style="67" hidden="1" customWidth="1"/>
    <col min="32" max="36" width="22.85546875" style="72" hidden="1" customWidth="1"/>
    <col min="37" max="37" width="23.42578125" style="67" hidden="1" customWidth="1"/>
    <col min="38" max="265" width="11.42578125" style="67" hidden="1" customWidth="1"/>
    <col min="266" max="266" width="12.42578125" style="67" hidden="1" customWidth="1"/>
    <col min="267" max="267" width="47" style="67" hidden="1" customWidth="1"/>
    <col min="268" max="268" width="35" style="67" hidden="1" customWidth="1"/>
    <col min="269" max="16384" width="14.42578125" style="67" hidden="1"/>
  </cols>
  <sheetData>
    <row r="1" spans="1:38" s="55" customFormat="1" ht="36" customHeight="1" x14ac:dyDescent="0.2">
      <c r="A1" s="476"/>
      <c r="B1" s="482" t="str">
        <f>+'2 CONTEXTO E IDENTIFICACIÓN'!A1</f>
        <v>MAPA DE RIESGOS</v>
      </c>
      <c r="C1" s="472"/>
      <c r="D1" s="473"/>
      <c r="E1" s="112"/>
      <c r="F1" s="3"/>
      <c r="G1" s="216" t="str">
        <f>+'2 CONTEXTO E IDENTIFICACIÓN'!$I$4</f>
        <v>Elaboración o Actualización:</v>
      </c>
      <c r="H1" s="230" t="str">
        <f>'2 CONTEXTO E IDENTIFICACIÓN'!J4</f>
        <v>9 de diciembre de 2025</v>
      </c>
      <c r="I1" s="13"/>
      <c r="J1" s="13"/>
      <c r="AF1" s="56"/>
      <c r="AG1" s="56"/>
      <c r="AH1" s="56"/>
      <c r="AI1" s="56"/>
      <c r="AJ1" s="56"/>
    </row>
    <row r="2" spans="1:38" s="55" customFormat="1" ht="36" customHeight="1" x14ac:dyDescent="0.2">
      <c r="A2" s="476"/>
      <c r="B2" s="482"/>
      <c r="C2" s="38" t="str">
        <f>+'2 CONTEXTO E IDENTIFICACIÓN'!A2</f>
        <v>VERSIÓN:</v>
      </c>
      <c r="D2" s="111">
        <f>'2 CONTEXTO E IDENTIFICACIÓN'!B2</f>
        <v>1</v>
      </c>
      <c r="E2" s="112"/>
      <c r="G2" s="219" t="str">
        <f>+'2 CONTEXTO E IDENTIFICACIÓN'!$E$5</f>
        <v>Vigencia:  2026</v>
      </c>
      <c r="H2" s="217" t="str">
        <f>'2 CONTEXTO E IDENTIFICACIÓN'!G5</f>
        <v>1 de enero de 2026</v>
      </c>
      <c r="I2" s="218" t="s">
        <v>99</v>
      </c>
      <c r="J2" s="215" t="str">
        <f>'2 CONTEXTO E IDENTIFICACIÓN'!J5</f>
        <v>31 de diciembre de 2026</v>
      </c>
      <c r="K2" s="58"/>
      <c r="L2" s="58"/>
      <c r="M2" s="58"/>
      <c r="N2" s="58"/>
      <c r="O2" s="58"/>
      <c r="P2" s="57"/>
      <c r="AF2" s="56"/>
      <c r="AG2" s="56"/>
      <c r="AH2" s="56"/>
      <c r="AI2" s="56"/>
      <c r="AJ2" s="56"/>
    </row>
    <row r="3" spans="1:38" s="55" customFormat="1" x14ac:dyDescent="0.2">
      <c r="A3" s="59"/>
      <c r="B3" s="57"/>
      <c r="C3" s="220"/>
      <c r="D3" s="220"/>
      <c r="E3" s="112"/>
      <c r="F3" s="233"/>
      <c r="G3" s="233"/>
      <c r="H3" s="234"/>
      <c r="I3" s="235"/>
      <c r="J3" s="213"/>
      <c r="K3" s="58"/>
      <c r="L3" s="58"/>
      <c r="M3" s="58"/>
      <c r="N3" s="58"/>
      <c r="O3" s="58"/>
      <c r="P3" s="57"/>
      <c r="AF3" s="56"/>
      <c r="AG3" s="56"/>
      <c r="AH3" s="56"/>
      <c r="AI3" s="56"/>
      <c r="AJ3" s="56"/>
    </row>
    <row r="4" spans="1:38" s="55" customFormat="1" ht="15" x14ac:dyDescent="0.2">
      <c r="A4" s="12" t="s">
        <v>95</v>
      </c>
      <c r="B4" s="462" t="str">
        <f>'2 CONTEXTO E IDENTIFICACIÓN'!B4</f>
        <v>SUPERSOLIDARIA</v>
      </c>
      <c r="C4" s="462"/>
      <c r="D4" s="462"/>
      <c r="E4" s="53"/>
      <c r="F4" s="113"/>
      <c r="AF4" s="56"/>
      <c r="AG4" s="56"/>
      <c r="AH4" s="56"/>
      <c r="AI4" s="56"/>
      <c r="AJ4" s="56"/>
    </row>
    <row r="5" spans="1:38" s="55" customFormat="1" ht="30.75" thickBot="1" x14ac:dyDescent="0.25">
      <c r="A5" s="12" t="s">
        <v>96</v>
      </c>
      <c r="B5" s="462" t="str">
        <f>'2 CONTEXTO E IDENTIFICACIÓN'!F4</f>
        <v>GEGI</v>
      </c>
      <c r="C5" s="463"/>
      <c r="D5" s="463"/>
      <c r="E5" s="53"/>
      <c r="F5" s="113"/>
      <c r="AF5" s="56"/>
      <c r="AG5" s="56"/>
      <c r="AH5" s="56"/>
      <c r="AI5" s="56"/>
      <c r="AJ5" s="56"/>
    </row>
    <row r="6" spans="1:38" s="55" customFormat="1" ht="13.5" thickBot="1" x14ac:dyDescent="0.25">
      <c r="D6" s="57"/>
      <c r="E6" s="40"/>
      <c r="F6" s="113"/>
      <c r="I6" s="483" t="s">
        <v>329</v>
      </c>
      <c r="J6" s="484"/>
      <c r="K6" s="484"/>
      <c r="L6" s="484"/>
      <c r="M6" s="484"/>
      <c r="N6" s="484"/>
      <c r="O6" s="485"/>
      <c r="R6" s="60"/>
      <c r="S6" s="61"/>
      <c r="T6" s="474" t="s">
        <v>165</v>
      </c>
      <c r="U6" s="474"/>
      <c r="V6" s="474"/>
      <c r="W6" s="474"/>
      <c r="X6" s="475"/>
      <c r="AF6" s="56"/>
      <c r="AG6" s="56"/>
      <c r="AH6" s="56"/>
      <c r="AI6" s="56"/>
      <c r="AJ6" s="56"/>
    </row>
    <row r="7" spans="1:38" x14ac:dyDescent="0.25">
      <c r="A7" s="114"/>
      <c r="B7" s="114"/>
      <c r="C7" s="64"/>
      <c r="D7" s="114"/>
      <c r="E7" s="477" t="s">
        <v>330</v>
      </c>
      <c r="F7" s="477"/>
      <c r="G7" s="477"/>
      <c r="H7" s="64"/>
      <c r="I7" s="65"/>
      <c r="J7" s="66"/>
      <c r="K7" s="474" t="s">
        <v>165</v>
      </c>
      <c r="L7" s="474"/>
      <c r="M7" s="474"/>
      <c r="N7" s="474"/>
      <c r="O7" s="475"/>
      <c r="P7" s="64"/>
      <c r="R7" s="68"/>
      <c r="T7" s="69">
        <v>0.2</v>
      </c>
      <c r="U7" s="69">
        <v>0.4</v>
      </c>
      <c r="V7" s="69">
        <v>0.6</v>
      </c>
      <c r="W7" s="69">
        <v>0.8</v>
      </c>
      <c r="X7" s="70">
        <v>1</v>
      </c>
      <c r="Y7" s="71"/>
      <c r="Z7" s="71"/>
      <c r="AA7" s="71"/>
      <c r="AB7" s="71"/>
      <c r="AC7" s="71"/>
      <c r="AD7" s="71"/>
      <c r="AE7" s="71"/>
    </row>
    <row r="8" spans="1:38" ht="39.950000000000003" customHeight="1" x14ac:dyDescent="0.2">
      <c r="A8" s="75" t="s">
        <v>262</v>
      </c>
      <c r="B8" s="75" t="s">
        <v>304</v>
      </c>
      <c r="C8" s="75" t="s">
        <v>331</v>
      </c>
      <c r="D8" s="75" t="s">
        <v>331</v>
      </c>
      <c r="E8" s="75" t="s">
        <v>146</v>
      </c>
      <c r="F8" s="75" t="s">
        <v>165</v>
      </c>
      <c r="G8" s="75" t="s">
        <v>332</v>
      </c>
      <c r="H8" s="64"/>
      <c r="I8" s="68"/>
      <c r="J8" s="77"/>
      <c r="K8" s="78" t="s">
        <v>279</v>
      </c>
      <c r="L8" s="78" t="s">
        <v>283</v>
      </c>
      <c r="M8" s="78" t="s">
        <v>287</v>
      </c>
      <c r="N8" s="78" t="s">
        <v>292</v>
      </c>
      <c r="O8" s="79" t="s">
        <v>297</v>
      </c>
      <c r="P8" s="64"/>
      <c r="R8" s="68"/>
      <c r="S8" s="80"/>
      <c r="T8" s="81" t="s">
        <v>279</v>
      </c>
      <c r="U8" s="81" t="s">
        <v>283</v>
      </c>
      <c r="V8" s="81" t="s">
        <v>287</v>
      </c>
      <c r="W8" s="81" t="s">
        <v>292</v>
      </c>
      <c r="X8" s="82" t="s">
        <v>297</v>
      </c>
      <c r="AA8" s="71"/>
      <c r="AB8" s="71"/>
      <c r="AC8" s="83"/>
      <c r="AD8" s="83"/>
      <c r="AE8" s="83"/>
      <c r="AF8" s="83"/>
      <c r="AG8" s="83"/>
      <c r="AH8" s="83"/>
      <c r="AI8" s="83"/>
      <c r="AJ8" s="83"/>
      <c r="AK8" s="83"/>
      <c r="AL8" s="83"/>
    </row>
    <row r="9" spans="1:38" ht="93" customHeight="1" x14ac:dyDescent="0.2">
      <c r="A9" s="84" t="str">
        <f>'2 CONTEXTO E IDENTIFICACIÓN'!A9</f>
        <v>GEGI-1</v>
      </c>
      <c r="B9" s="85" t="str">
        <f>+'2 CONTEXTO E IDENTIFICACIÓN'!J9</f>
        <v>Posibilidad de afectación reputacional porpor insatisfacción de los grupos de valor a causa de una orientación inadecuada en la prestación del servicio</v>
      </c>
      <c r="C9" s="115">
        <f>+'5 VALORACIÓN DEL CONTROL'!T13</f>
        <v>0.6</v>
      </c>
      <c r="D9" s="86">
        <f>+'5 VALORACIÓN DEL CONTROL'!U13</f>
        <v>0.4</v>
      </c>
      <c r="E9" s="116" t="str">
        <f>+IF(C9=0,"",IF(C9&lt;=$R$13,$S$13,IF(C9&lt;=$R$12,$S$12,IF(C9&lt;=$R$11,$S$11,IF(C9&lt;=$R$10,$S$10,IF(C9&lt;=$R$9,$S$9,""))))))</f>
        <v>Media</v>
      </c>
      <c r="F9" s="116" t="str">
        <f>+IF(D9=0,"",IF(D9&lt;=$T$7,$T$8,IF(D9&lt;=$U$7,$U$8,IF(D9&lt;=$V$7,$V$8,IF(D9&lt;=$W$7,$W$8,IF(D9&lt;=$X$7,$X$8,""))))))</f>
        <v>Menor</v>
      </c>
      <c r="G9" s="85"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7"/>
      <c r="I9" s="480" t="s">
        <v>146</v>
      </c>
      <c r="J9" s="78" t="s">
        <v>295</v>
      </c>
      <c r="K9" s="88"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8"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8"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8"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89"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7"/>
      <c r="Q9" s="542" t="s">
        <v>146</v>
      </c>
      <c r="R9" s="90">
        <v>1</v>
      </c>
      <c r="S9" s="81" t="s">
        <v>295</v>
      </c>
      <c r="T9" s="88" t="s">
        <v>305</v>
      </c>
      <c r="U9" s="88" t="s">
        <v>305</v>
      </c>
      <c r="V9" s="88" t="s">
        <v>305</v>
      </c>
      <c r="W9" s="88" t="s">
        <v>305</v>
      </c>
      <c r="X9" s="89" t="s">
        <v>306</v>
      </c>
      <c r="AA9" s="71"/>
      <c r="AB9" s="71"/>
      <c r="AC9" s="83"/>
      <c r="AD9" s="83"/>
      <c r="AE9" s="83"/>
      <c r="AF9" s="91"/>
      <c r="AG9" s="91"/>
      <c r="AH9" s="91"/>
      <c r="AI9" s="91"/>
      <c r="AJ9" s="91"/>
      <c r="AK9" s="83"/>
      <c r="AL9" s="83"/>
    </row>
    <row r="10" spans="1:38" ht="93" customHeight="1" x14ac:dyDescent="0.2">
      <c r="A10" s="84" t="str">
        <f>'2 CONTEXTO E IDENTIFICACIÓN'!A11</f>
        <v>GEGI-10</v>
      </c>
      <c r="B10" s="85" t="str">
        <f>+'2 CONTEXTO E IDENTIFICACIÓN'!J10</f>
        <v>Posibilidad de afectación reputacional porinsatisfacción de los grupos de valor y/o sanciones de entes de control a causa de incumplimiento de los términos de ley para la gestión de solicitudes.</v>
      </c>
      <c r="C10" s="115">
        <f>+'5 VALORACIÓN DEL CONTROL'!T19</f>
        <v>0.6</v>
      </c>
      <c r="D10" s="86">
        <f>+'5 VALORACIÓN DEL CONTROL'!U19</f>
        <v>1</v>
      </c>
      <c r="E10" s="116" t="str">
        <f t="shared" ref="E10:E28" si="0">+IF(C10=0,"",IF(C10&lt;=$R$13,$S$13,IF(C10&lt;=$R$12,$S$12,IF(C10&lt;=$R$11,$S$11,IF(C10&lt;=$R$10,$S$10,IF(C10&lt;=$R$9,$S$9,""))))))</f>
        <v>Media</v>
      </c>
      <c r="F10" s="116" t="str">
        <f t="shared" ref="F10:F28" si="1">+IF(D10=0,"",IF(D10&lt;=$T$7,$T$8,IF(D10&lt;=$U$7,$U$8,IF(D10&lt;=$V$7,$V$8,IF(D10&lt;=$W$7,$W$8,IF(D10&lt;=$X$7,$X$8,""))))))</f>
        <v>Catastrófico</v>
      </c>
      <c r="G10" s="85"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Extremo</v>
      </c>
      <c r="H10" s="87"/>
      <c r="I10" s="480"/>
      <c r="J10" s="78" t="s">
        <v>290</v>
      </c>
      <c r="K10" s="92"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2"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8"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8"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89"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7"/>
      <c r="Q10" s="542"/>
      <c r="R10" s="90">
        <v>0.8</v>
      </c>
      <c r="S10" s="81" t="s">
        <v>290</v>
      </c>
      <c r="T10" s="92" t="s">
        <v>287</v>
      </c>
      <c r="U10" s="92" t="s">
        <v>287</v>
      </c>
      <c r="V10" s="88" t="s">
        <v>305</v>
      </c>
      <c r="W10" s="88" t="s">
        <v>305</v>
      </c>
      <c r="X10" s="89" t="s">
        <v>306</v>
      </c>
      <c r="AA10" s="71"/>
      <c r="AB10" s="71"/>
      <c r="AC10" s="83"/>
      <c r="AD10" s="93"/>
      <c r="AE10" s="94"/>
      <c r="AF10" s="91"/>
      <c r="AG10" s="91"/>
      <c r="AH10" s="91"/>
      <c r="AI10" s="91"/>
      <c r="AJ10" s="91"/>
      <c r="AK10" s="83"/>
      <c r="AL10" s="83"/>
    </row>
    <row r="11" spans="1:38" ht="93" customHeight="1" x14ac:dyDescent="0.2">
      <c r="A11" s="84" t="str">
        <f>'2 CONTEXTO E IDENTIFICACIÓN'!A12</f>
        <v>GEGI-13</v>
      </c>
      <c r="B11" s="85" t="str">
        <f>+'2 CONTEXTO E IDENTIFICACIÓN'!J11</f>
        <v>Posibilidad de afectación reputacional porfalta de comunicación y credibilidad en la SES a causa de la publicación de información emitida sin la correcta divulgación al interior de la entidad.</v>
      </c>
      <c r="C11" s="115">
        <f>+'5 VALORACIÓN DEL CONTROL'!T25</f>
        <v>0.6</v>
      </c>
      <c r="D11" s="86">
        <f>+'5 VALORACIÓN DEL CONTROL'!U25</f>
        <v>0.2</v>
      </c>
      <c r="E11" s="116" t="str">
        <f t="shared" si="0"/>
        <v>Media</v>
      </c>
      <c r="F11" s="116" t="str">
        <f t="shared" si="1"/>
        <v>Leve</v>
      </c>
      <c r="G11" s="85"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87"/>
      <c r="I11" s="480"/>
      <c r="J11" s="78" t="s">
        <v>285</v>
      </c>
      <c r="K11" s="92"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GEGI-13   GEGI-12 R8             </v>
      </c>
      <c r="L11" s="92"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GEGI-1    GEGI-15               </v>
      </c>
      <c r="M11" s="92"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GEGI-14                </v>
      </c>
      <c r="N11" s="88"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89"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GEGI-10                  </v>
      </c>
      <c r="P11" s="87"/>
      <c r="Q11" s="542"/>
      <c r="R11" s="90">
        <v>0.6</v>
      </c>
      <c r="S11" s="81" t="s">
        <v>285</v>
      </c>
      <c r="T11" s="92" t="s">
        <v>287</v>
      </c>
      <c r="U11" s="92" t="s">
        <v>287</v>
      </c>
      <c r="V11" s="92" t="s">
        <v>287</v>
      </c>
      <c r="W11" s="88" t="s">
        <v>305</v>
      </c>
      <c r="X11" s="89" t="s">
        <v>306</v>
      </c>
      <c r="AA11" s="71"/>
      <c r="AB11" s="71"/>
      <c r="AC11" s="83"/>
      <c r="AD11" s="93"/>
      <c r="AE11" s="94"/>
      <c r="AF11" s="91"/>
      <c r="AG11" s="91"/>
      <c r="AH11" s="91"/>
      <c r="AI11" s="91"/>
      <c r="AJ11" s="95"/>
      <c r="AK11" s="83"/>
      <c r="AL11" s="83"/>
    </row>
    <row r="12" spans="1:38" ht="93" customHeight="1" x14ac:dyDescent="0.2">
      <c r="A12" s="84" t="str">
        <f>'2 CONTEXTO E IDENTIFICACIÓN'!A13</f>
        <v>GEGI-14</v>
      </c>
      <c r="B12" s="85" t="str">
        <f>+'2 CONTEXTO E IDENTIFICACIÓN'!J12</f>
        <v>Posibilidad de afectación económica y reputacional porafectación a los asistentes a actividades organizadas por la SES a causa de falta de planeación previa a la ejecución de las actividades organizadas con 100 o hasta 500 personas.</v>
      </c>
      <c r="C12" s="115">
        <f>+'5 VALORACIÓN DEL CONTROL'!T31</f>
        <v>0.6</v>
      </c>
      <c r="D12" s="86">
        <f>+'5 VALORACIÓN DEL CONTROL'!U31</f>
        <v>0.6</v>
      </c>
      <c r="E12" s="116" t="str">
        <f t="shared" si="0"/>
        <v>Media</v>
      </c>
      <c r="F12" s="116" t="str">
        <f t="shared" si="1"/>
        <v>Moderado</v>
      </c>
      <c r="G12" s="85"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87"/>
      <c r="I12" s="480"/>
      <c r="J12" s="78" t="s">
        <v>281</v>
      </c>
      <c r="K12" s="96"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2"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2"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                   </v>
      </c>
      <c r="N12" s="88"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89"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7"/>
      <c r="Q12" s="542"/>
      <c r="R12" s="90">
        <v>0.4</v>
      </c>
      <c r="S12" s="81" t="s">
        <v>281</v>
      </c>
      <c r="T12" s="96" t="s">
        <v>307</v>
      </c>
      <c r="U12" s="92" t="s">
        <v>287</v>
      </c>
      <c r="V12" s="92" t="s">
        <v>287</v>
      </c>
      <c r="W12" s="88" t="s">
        <v>305</v>
      </c>
      <c r="X12" s="89" t="s">
        <v>306</v>
      </c>
      <c r="AA12" s="71"/>
      <c r="AB12" s="71"/>
      <c r="AC12" s="83"/>
      <c r="AD12" s="93"/>
      <c r="AE12" s="94"/>
      <c r="AF12" s="91"/>
      <c r="AG12" s="91"/>
      <c r="AH12" s="91"/>
      <c r="AI12" s="95"/>
      <c r="AJ12" s="91"/>
      <c r="AK12" s="83"/>
      <c r="AL12" s="83"/>
    </row>
    <row r="13" spans="1:38" ht="93" customHeight="1" thickBot="1" x14ac:dyDescent="0.25">
      <c r="A13" s="84" t="str">
        <f>'2 CONTEXTO E IDENTIFICACIÓN'!A14</f>
        <v>GEGI-15</v>
      </c>
      <c r="B13" s="85" t="str">
        <f>+'2 CONTEXTO E IDENTIFICACIÓN'!J10</f>
        <v>Posibilidad de afectación reputacional porinsatisfacción de los grupos de valor y/o sanciones de entes de control a causa de incumplimiento de los términos de ley para la gestión de solicitudes.</v>
      </c>
      <c r="C13" s="115">
        <f>+'5 VALORACIÓN DEL CONTROL'!T37</f>
        <v>0.6</v>
      </c>
      <c r="D13" s="86">
        <f>+'5 VALORACIÓN DEL CONTROL'!U37</f>
        <v>0.4</v>
      </c>
      <c r="E13" s="116" t="str">
        <f t="shared" si="0"/>
        <v>Media</v>
      </c>
      <c r="F13" s="116" t="str">
        <f t="shared" si="1"/>
        <v>Menor</v>
      </c>
      <c r="G13" s="85" t="str">
        <f t="shared" si="2"/>
        <v>Moderado</v>
      </c>
      <c r="H13" s="87"/>
      <c r="I13" s="481"/>
      <c r="J13" s="97" t="s">
        <v>277</v>
      </c>
      <c r="K13" s="98"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8"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99"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0"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1"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7"/>
      <c r="Q13" s="542"/>
      <c r="R13" s="102">
        <v>0.2</v>
      </c>
      <c r="S13" s="103" t="s">
        <v>277</v>
      </c>
      <c r="T13" s="98" t="s">
        <v>307</v>
      </c>
      <c r="U13" s="98" t="s">
        <v>307</v>
      </c>
      <c r="V13" s="99" t="s">
        <v>287</v>
      </c>
      <c r="W13" s="100" t="s">
        <v>305</v>
      </c>
      <c r="X13" s="101" t="s">
        <v>306</v>
      </c>
      <c r="AA13" s="71"/>
      <c r="AB13" s="71"/>
      <c r="AC13" s="83"/>
      <c r="AD13" s="93"/>
      <c r="AE13" s="94"/>
      <c r="AF13" s="91"/>
      <c r="AG13" s="91"/>
      <c r="AH13" s="91"/>
      <c r="AI13" s="104"/>
      <c r="AJ13" s="91"/>
      <c r="AK13" s="83"/>
      <c r="AL13" s="83"/>
    </row>
    <row r="14" spans="1:38" ht="93" customHeight="1" x14ac:dyDescent="0.2">
      <c r="A14" s="84" t="str">
        <f>'2 CONTEXTO E IDENTIFICACIÓN'!A15</f>
        <v>GEGI-12</v>
      </c>
      <c r="B14" s="85" t="str">
        <f>+'2 CONTEXTO E IDENTIFICACIÓN'!J11</f>
        <v>Posibilidad de afectación reputacional porfalta de comunicación y credibilidad en la SES a causa de la publicación de información emitida sin la correcta divulgación al interior de la entidad.</v>
      </c>
      <c r="C14" s="115">
        <f>+'5 VALORACIÓN DEL CONTROL'!T43</f>
        <v>0.6</v>
      </c>
      <c r="D14" s="86">
        <f>+'5 VALORACIÓN DEL CONTROL'!U43</f>
        <v>0.2</v>
      </c>
      <c r="E14" s="116" t="str">
        <f t="shared" si="0"/>
        <v>Media</v>
      </c>
      <c r="F14" s="116" t="str">
        <f t="shared" si="1"/>
        <v>Leve</v>
      </c>
      <c r="G14" s="85" t="str">
        <f t="shared" si="2"/>
        <v>Moderado</v>
      </c>
      <c r="H14" s="87"/>
      <c r="I14" s="87"/>
      <c r="J14" s="87"/>
      <c r="K14" s="87"/>
      <c r="L14" s="87"/>
      <c r="M14" s="87"/>
      <c r="N14" s="87"/>
      <c r="O14" s="87"/>
      <c r="P14" s="87"/>
      <c r="AA14" s="71"/>
      <c r="AB14" s="71"/>
      <c r="AC14" s="83"/>
      <c r="AD14" s="93"/>
      <c r="AE14" s="94"/>
      <c r="AF14" s="91"/>
      <c r="AG14" s="91"/>
      <c r="AH14" s="91"/>
      <c r="AI14" s="91"/>
      <c r="AJ14" s="91"/>
      <c r="AK14" s="83"/>
      <c r="AL14" s="83"/>
    </row>
    <row r="15" spans="1:38" ht="93" hidden="1" customHeight="1" x14ac:dyDescent="0.2">
      <c r="A15" s="84" t="str">
        <f>'2 CONTEXTO E IDENTIFICACIÓN'!A16</f>
        <v>R8</v>
      </c>
      <c r="B15" s="85"/>
      <c r="C15" s="115">
        <f>+'5 VALORACIÓN DEL CONTROL'!T49</f>
        <v>0.6</v>
      </c>
      <c r="D15" s="86">
        <f>+'5 VALORACIÓN DEL CONTROL'!U49</f>
        <v>0.2</v>
      </c>
      <c r="E15" s="116" t="str">
        <f t="shared" si="0"/>
        <v>Media</v>
      </c>
      <c r="F15" s="116" t="str">
        <f t="shared" si="1"/>
        <v>Leve</v>
      </c>
      <c r="G15" s="85" t="str">
        <f t="shared" si="2"/>
        <v>Moderado</v>
      </c>
      <c r="H15" s="87"/>
      <c r="I15" s="87"/>
      <c r="J15" s="87"/>
      <c r="K15" s="87"/>
      <c r="L15" s="87"/>
      <c r="M15" s="87"/>
      <c r="N15" s="87"/>
      <c r="O15" s="87"/>
      <c r="P15" s="87"/>
      <c r="T15" s="75" t="s">
        <v>308</v>
      </c>
      <c r="V15" s="71"/>
      <c r="W15" s="71"/>
      <c r="X15" s="71"/>
      <c r="Y15" s="71"/>
      <c r="Z15" s="71"/>
      <c r="AA15" s="71"/>
      <c r="AB15" s="71"/>
      <c r="AC15" s="83"/>
      <c r="AD15" s="93"/>
      <c r="AE15" s="83"/>
      <c r="AF15" s="94"/>
      <c r="AG15" s="94"/>
      <c r="AH15" s="94"/>
      <c r="AI15" s="94"/>
      <c r="AJ15" s="94"/>
      <c r="AK15" s="83"/>
      <c r="AL15" s="83"/>
    </row>
    <row r="16" spans="1:38" ht="93" hidden="1" customHeight="1" x14ac:dyDescent="0.2">
      <c r="A16" s="84" t="str">
        <f>'2 CONTEXTO E IDENTIFICACIÓN'!A17</f>
        <v>R9</v>
      </c>
      <c r="B16" s="85"/>
      <c r="C16" s="115">
        <f>+'5 VALORACIÓN DEL CONTROL'!T55</f>
        <v>0.6</v>
      </c>
      <c r="D16" s="86" t="str">
        <f>+'5 VALORACIÓN DEL CONTROL'!U55</f>
        <v/>
      </c>
      <c r="E16" s="116" t="str">
        <f t="shared" si="0"/>
        <v>Media</v>
      </c>
      <c r="F16" s="116" t="str">
        <f t="shared" si="1"/>
        <v/>
      </c>
      <c r="G16" s="85" t="b">
        <f t="shared" si="2"/>
        <v>0</v>
      </c>
      <c r="H16" s="87"/>
      <c r="I16" s="87"/>
      <c r="J16" s="87"/>
      <c r="K16" s="87"/>
      <c r="L16" s="87"/>
      <c r="M16" s="87"/>
      <c r="N16" s="87"/>
      <c r="O16" s="87"/>
      <c r="P16" s="87"/>
      <c r="T16" s="105" t="s">
        <v>306</v>
      </c>
      <c r="V16" s="71"/>
      <c r="W16" s="71"/>
      <c r="X16" s="71"/>
      <c r="Y16" s="71"/>
      <c r="Z16" s="71"/>
      <c r="AA16" s="71"/>
      <c r="AB16" s="71"/>
      <c r="AC16" s="83"/>
      <c r="AD16" s="83"/>
      <c r="AE16" s="83"/>
      <c r="AF16" s="91"/>
      <c r="AG16" s="91"/>
      <c r="AH16" s="91"/>
      <c r="AI16" s="91"/>
      <c r="AJ16" s="91"/>
      <c r="AK16" s="83"/>
      <c r="AL16" s="83"/>
    </row>
    <row r="17" spans="1:38" ht="93" hidden="1" customHeight="1" x14ac:dyDescent="0.2">
      <c r="A17" s="84" t="str">
        <f>'2 CONTEXTO E IDENTIFICACIÓN'!A18</f>
        <v>R10</v>
      </c>
      <c r="B17" s="85"/>
      <c r="C17" s="115">
        <f>+'5 VALORACIÓN DEL CONTROL'!T61</f>
        <v>0.6</v>
      </c>
      <c r="D17" s="86" t="str">
        <f>+'5 VALORACIÓN DEL CONTROL'!U61</f>
        <v/>
      </c>
      <c r="E17" s="116" t="str">
        <f t="shared" si="0"/>
        <v>Media</v>
      </c>
      <c r="F17" s="116" t="str">
        <f t="shared" si="1"/>
        <v/>
      </c>
      <c r="G17" s="85" t="b">
        <f t="shared" si="2"/>
        <v>0</v>
      </c>
      <c r="H17" s="87"/>
      <c r="I17" s="87"/>
      <c r="J17" s="87"/>
      <c r="K17" s="87"/>
      <c r="L17" s="87"/>
      <c r="M17" s="87"/>
      <c r="N17" s="87"/>
      <c r="O17" s="87"/>
      <c r="P17" s="87"/>
      <c r="T17" s="88" t="s">
        <v>305</v>
      </c>
      <c r="U17" s="71"/>
      <c r="V17" s="71"/>
      <c r="W17" s="71"/>
      <c r="X17" s="71"/>
      <c r="Y17" s="71"/>
      <c r="Z17" s="71"/>
      <c r="AA17" s="71"/>
      <c r="AB17" s="71"/>
      <c r="AC17" s="83"/>
      <c r="AD17" s="83"/>
      <c r="AE17" s="83"/>
      <c r="AF17" s="91"/>
      <c r="AG17" s="91"/>
      <c r="AH17" s="91"/>
      <c r="AI17" s="91"/>
      <c r="AJ17" s="91"/>
      <c r="AK17" s="83"/>
      <c r="AL17" s="83"/>
    </row>
    <row r="18" spans="1:38" ht="93" hidden="1" customHeight="1" x14ac:dyDescent="0.2">
      <c r="A18" s="84" t="str">
        <f>'2 CONTEXTO E IDENTIFICACIÓN'!A19</f>
        <v>R11</v>
      </c>
      <c r="B18" s="85"/>
      <c r="C18" s="115">
        <f>+'5 VALORACIÓN DEL CONTROL'!T67</f>
        <v>0.6</v>
      </c>
      <c r="D18" s="86" t="str">
        <f>+'5 VALORACIÓN DEL CONTROL'!U67</f>
        <v/>
      </c>
      <c r="E18" s="116" t="str">
        <f t="shared" si="0"/>
        <v>Media</v>
      </c>
      <c r="F18" s="116" t="str">
        <f t="shared" si="1"/>
        <v/>
      </c>
      <c r="G18" s="85" t="b">
        <f t="shared" si="2"/>
        <v>0</v>
      </c>
      <c r="H18" s="87"/>
      <c r="I18" s="87"/>
      <c r="J18" s="87"/>
      <c r="K18" s="87"/>
      <c r="L18" s="87"/>
      <c r="M18" s="87"/>
      <c r="N18" s="87"/>
      <c r="O18" s="87"/>
      <c r="P18" s="87"/>
      <c r="S18" s="106"/>
      <c r="T18" s="92" t="s">
        <v>287</v>
      </c>
      <c r="U18" s="106"/>
      <c r="V18" s="106"/>
      <c r="W18" s="106"/>
      <c r="X18" s="106"/>
      <c r="Y18" s="106"/>
      <c r="Z18" s="106"/>
      <c r="AA18" s="106"/>
      <c r="AB18" s="106"/>
      <c r="AC18" s="83"/>
      <c r="AD18" s="83"/>
      <c r="AE18" s="107"/>
      <c r="AF18" s="107"/>
      <c r="AG18" s="107"/>
      <c r="AH18" s="107"/>
      <c r="AI18" s="107"/>
      <c r="AJ18" s="107"/>
      <c r="AK18" s="83"/>
      <c r="AL18" s="83"/>
    </row>
    <row r="19" spans="1:38" ht="93" hidden="1" customHeight="1" x14ac:dyDescent="0.2">
      <c r="A19" s="84" t="str">
        <f>'2 CONTEXTO E IDENTIFICACIÓN'!A16</f>
        <v>R8</v>
      </c>
      <c r="B19" s="85" t="str">
        <f>+'2 CONTEXTO E IDENTIFICACIÓN'!J16</f>
        <v xml:space="preserve"> por a causa de </v>
      </c>
      <c r="C19" s="115">
        <f>+'5 VALORACIÓN DEL CONTROL'!T73</f>
        <v>0.6</v>
      </c>
      <c r="D19" s="86" t="str">
        <f>+'5 VALORACIÓN DEL CONTROL'!U73</f>
        <v/>
      </c>
      <c r="E19" s="116" t="str">
        <f t="shared" si="0"/>
        <v>Media</v>
      </c>
      <c r="F19" s="116" t="str">
        <f t="shared" si="1"/>
        <v/>
      </c>
      <c r="G19" s="85" t="b">
        <f t="shared" si="2"/>
        <v>0</v>
      </c>
      <c r="H19" s="87"/>
      <c r="I19" s="87"/>
      <c r="J19" s="87"/>
      <c r="K19" s="87"/>
      <c r="L19" s="87"/>
      <c r="M19" s="87"/>
      <c r="N19" s="87"/>
      <c r="O19" s="87"/>
      <c r="P19" s="87"/>
      <c r="S19" s="106"/>
      <c r="T19" s="96" t="s">
        <v>307</v>
      </c>
      <c r="AA19" s="106"/>
      <c r="AB19" s="106"/>
      <c r="AC19" s="83"/>
      <c r="AD19" s="83"/>
      <c r="AE19" s="83"/>
      <c r="AF19" s="91"/>
      <c r="AG19" s="91"/>
      <c r="AH19" s="91"/>
      <c r="AI19" s="91"/>
      <c r="AJ19" s="91"/>
      <c r="AK19" s="83"/>
      <c r="AL19" s="83"/>
    </row>
    <row r="20" spans="1:38" ht="93" hidden="1" customHeight="1" x14ac:dyDescent="0.2">
      <c r="A20" s="84" t="str">
        <f>'2 CONTEXTO E IDENTIFICACIÓN'!A17</f>
        <v>R9</v>
      </c>
      <c r="B20" s="85" t="str">
        <f>+'2 CONTEXTO E IDENTIFICACIÓN'!J17</f>
        <v xml:space="preserve"> por a causa de </v>
      </c>
      <c r="C20" s="115">
        <f>+'5 VALORACIÓN DEL CONTROL'!T79</f>
        <v>0.6</v>
      </c>
      <c r="D20" s="86" t="str">
        <f>+'5 VALORACIÓN DEL CONTROL'!U79</f>
        <v/>
      </c>
      <c r="E20" s="116" t="str">
        <f t="shared" si="0"/>
        <v>Media</v>
      </c>
      <c r="F20" s="116" t="str">
        <f t="shared" si="1"/>
        <v/>
      </c>
      <c r="G20" s="85" t="b">
        <f t="shared" si="2"/>
        <v>0</v>
      </c>
      <c r="H20" s="87"/>
      <c r="I20" s="87"/>
      <c r="J20" s="87"/>
      <c r="K20" s="87"/>
      <c r="L20" s="87"/>
      <c r="M20" s="87"/>
      <c r="N20" s="87"/>
      <c r="O20" s="87"/>
      <c r="P20" s="87"/>
      <c r="Q20" s="108"/>
      <c r="R20" s="108"/>
      <c r="S20" s="106"/>
      <c r="AA20" s="106"/>
      <c r="AB20" s="106"/>
      <c r="AC20" s="83"/>
      <c r="AD20" s="83"/>
      <c r="AE20" s="83"/>
      <c r="AF20" s="91"/>
      <c r="AG20" s="91"/>
      <c r="AH20" s="91"/>
      <c r="AI20" s="91"/>
      <c r="AJ20" s="91"/>
      <c r="AK20" s="83"/>
      <c r="AL20" s="83"/>
    </row>
    <row r="21" spans="1:38" ht="93" hidden="1" customHeight="1" x14ac:dyDescent="0.2">
      <c r="A21" s="84" t="str">
        <f>'2 CONTEXTO E IDENTIFICACIÓN'!A18</f>
        <v>R10</v>
      </c>
      <c r="B21" s="85" t="str">
        <f>+'2 CONTEXTO E IDENTIFICACIÓN'!J18</f>
        <v xml:space="preserve"> por a causa de </v>
      </c>
      <c r="C21" s="115">
        <f>+'5 VALORACIÓN DEL CONTROL'!T85</f>
        <v>0.6</v>
      </c>
      <c r="D21" s="86" t="str">
        <f>+'5 VALORACIÓN DEL CONTROL'!U85</f>
        <v/>
      </c>
      <c r="E21" s="116" t="str">
        <f t="shared" si="0"/>
        <v>Media</v>
      </c>
      <c r="F21" s="116" t="str">
        <f t="shared" si="1"/>
        <v/>
      </c>
      <c r="G21" s="85" t="b">
        <f t="shared" si="2"/>
        <v>0</v>
      </c>
      <c r="H21" s="87"/>
      <c r="I21" s="87"/>
      <c r="J21" s="87"/>
      <c r="K21" s="87"/>
      <c r="L21" s="87"/>
      <c r="M21" s="87"/>
      <c r="N21" s="87"/>
      <c r="O21" s="87"/>
      <c r="P21" s="87"/>
      <c r="Q21" s="108"/>
      <c r="R21" s="108"/>
      <c r="S21" s="109"/>
      <c r="AA21" s="106"/>
      <c r="AB21" s="106"/>
      <c r="AC21" s="83"/>
      <c r="AD21" s="104"/>
      <c r="AE21" s="104"/>
      <c r="AF21" s="104"/>
      <c r="AG21" s="104"/>
      <c r="AH21" s="104"/>
      <c r="AI21" s="104"/>
      <c r="AJ21" s="91"/>
      <c r="AK21" s="83"/>
      <c r="AL21" s="83"/>
    </row>
    <row r="22" spans="1:38" ht="93" hidden="1" customHeight="1" x14ac:dyDescent="0.2">
      <c r="A22" s="84" t="str">
        <f>'2 CONTEXTO E IDENTIFICACIÓN'!A19</f>
        <v>R11</v>
      </c>
      <c r="B22" s="85" t="str">
        <f>+'2 CONTEXTO E IDENTIFICACIÓN'!J19</f>
        <v xml:space="preserve"> por a causa de </v>
      </c>
      <c r="C22" s="115">
        <f>+'5 VALORACIÓN DEL CONTROL'!T91</f>
        <v>0.6</v>
      </c>
      <c r="D22" s="86" t="str">
        <f>+'5 VALORACIÓN DEL CONTROL'!U91</f>
        <v/>
      </c>
      <c r="E22" s="116" t="str">
        <f t="shared" si="0"/>
        <v>Media</v>
      </c>
      <c r="F22" s="116" t="str">
        <f t="shared" si="1"/>
        <v/>
      </c>
      <c r="G22" s="85" t="b">
        <f t="shared" si="2"/>
        <v>0</v>
      </c>
      <c r="H22" s="87"/>
      <c r="I22" s="87"/>
      <c r="J22" s="87"/>
      <c r="K22" s="87"/>
      <c r="L22" s="87"/>
      <c r="M22" s="87"/>
      <c r="N22" s="87"/>
      <c r="O22" s="87"/>
      <c r="P22" s="87"/>
      <c r="Q22" s="108"/>
      <c r="R22" s="108"/>
      <c r="AC22" s="83"/>
      <c r="AD22" s="110"/>
      <c r="AE22" s="110"/>
      <c r="AF22" s="110"/>
      <c r="AG22" s="110"/>
      <c r="AH22" s="110"/>
      <c r="AI22" s="110"/>
      <c r="AJ22" s="91"/>
      <c r="AK22" s="83"/>
      <c r="AL22" s="83"/>
    </row>
    <row r="23" spans="1:38" ht="93" hidden="1" customHeight="1" x14ac:dyDescent="0.2">
      <c r="A23" s="84" t="str">
        <f>'2 CONTEXTO E IDENTIFICACIÓN'!A20</f>
        <v>R12</v>
      </c>
      <c r="B23" s="85" t="str">
        <f>+'2 CONTEXTO E IDENTIFICACIÓN'!J20</f>
        <v xml:space="preserve"> por a causa de </v>
      </c>
      <c r="C23" s="115">
        <f>+'5 VALORACIÓN DEL CONTROL'!T97</f>
        <v>0.6</v>
      </c>
      <c r="D23" s="86">
        <f>+'5 VALORACIÓN DEL CONTROL'!U97</f>
        <v>0</v>
      </c>
      <c r="E23" s="116" t="str">
        <f t="shared" si="0"/>
        <v>Media</v>
      </c>
      <c r="F23" s="116" t="str">
        <f t="shared" si="1"/>
        <v/>
      </c>
      <c r="G23" s="85" t="b">
        <f t="shared" si="2"/>
        <v>0</v>
      </c>
      <c r="H23" s="87"/>
      <c r="I23" s="87"/>
      <c r="J23" s="87"/>
      <c r="K23" s="87"/>
      <c r="L23" s="87"/>
      <c r="M23" s="87"/>
      <c r="N23" s="87"/>
      <c r="O23" s="87"/>
      <c r="P23" s="87"/>
      <c r="Q23" s="108"/>
      <c r="R23" s="108"/>
      <c r="AC23" s="83"/>
      <c r="AD23" s="104"/>
      <c r="AE23" s="104"/>
      <c r="AF23" s="104"/>
      <c r="AG23" s="104"/>
      <c r="AH23" s="104"/>
      <c r="AI23" s="104"/>
      <c r="AJ23" s="91"/>
      <c r="AK23" s="83"/>
      <c r="AL23" s="83"/>
    </row>
    <row r="24" spans="1:38" ht="93" hidden="1" customHeight="1" x14ac:dyDescent="0.2">
      <c r="A24" s="84" t="str">
        <f>'2 CONTEXTO E IDENTIFICACIÓN'!A21</f>
        <v>R13</v>
      </c>
      <c r="B24" s="85" t="str">
        <f>+'2 CONTEXTO E IDENTIFICACIÓN'!J21</f>
        <v xml:space="preserve"> por a causa de </v>
      </c>
      <c r="C24" s="115">
        <f>+'5 VALORACIÓN DEL CONTROL'!T103</f>
        <v>0.6</v>
      </c>
      <c r="D24" s="86">
        <f>+'5 VALORACIÓN DEL CONTROL'!U103</f>
        <v>0</v>
      </c>
      <c r="E24" s="116" t="str">
        <f t="shared" si="0"/>
        <v>Media</v>
      </c>
      <c r="F24" s="116" t="str">
        <f t="shared" si="1"/>
        <v/>
      </c>
      <c r="G24" s="85" t="b">
        <f t="shared" si="2"/>
        <v>0</v>
      </c>
      <c r="H24" s="87"/>
      <c r="I24" s="87"/>
      <c r="J24" s="87"/>
      <c r="K24" s="87"/>
      <c r="L24" s="87"/>
      <c r="M24" s="87"/>
      <c r="N24" s="87"/>
      <c r="O24" s="87"/>
      <c r="P24" s="87"/>
      <c r="AC24" s="83"/>
      <c r="AD24" s="104"/>
      <c r="AE24" s="104"/>
      <c r="AF24" s="104"/>
      <c r="AG24" s="104"/>
      <c r="AH24" s="104"/>
      <c r="AI24" s="104"/>
      <c r="AJ24" s="91"/>
      <c r="AK24" s="83"/>
      <c r="AL24" s="83"/>
    </row>
    <row r="25" spans="1:38" ht="93" hidden="1" customHeight="1" x14ac:dyDescent="0.25">
      <c r="A25" s="84" t="str">
        <f>'2 CONTEXTO E IDENTIFICACIÓN'!A22</f>
        <v>R14</v>
      </c>
      <c r="B25" s="85" t="str">
        <f>+'2 CONTEXTO E IDENTIFICACIÓN'!J22</f>
        <v xml:space="preserve"> por a causa de </v>
      </c>
      <c r="C25" s="115">
        <f>+'5 VALORACIÓN DEL CONTROL'!T109</f>
        <v>0.6</v>
      </c>
      <c r="D25" s="86">
        <f>+'5 VALORACIÓN DEL CONTROL'!U109</f>
        <v>0</v>
      </c>
      <c r="E25" s="116" t="str">
        <f t="shared" si="0"/>
        <v>Media</v>
      </c>
      <c r="F25" s="116" t="str">
        <f t="shared" si="1"/>
        <v/>
      </c>
      <c r="G25" s="85" t="b">
        <f t="shared" si="2"/>
        <v>0</v>
      </c>
      <c r="H25" s="87"/>
      <c r="I25" s="87"/>
      <c r="J25" s="87"/>
      <c r="K25" s="87"/>
      <c r="L25" s="87"/>
      <c r="M25" s="87"/>
      <c r="N25" s="87"/>
      <c r="O25" s="87"/>
      <c r="P25" s="87"/>
    </row>
    <row r="26" spans="1:38" ht="93" hidden="1" customHeight="1" x14ac:dyDescent="0.25">
      <c r="A26" s="84" t="str">
        <f>'2 CONTEXTO E IDENTIFICACIÓN'!A23</f>
        <v>R15</v>
      </c>
      <c r="B26" s="85" t="str">
        <f>+'2 CONTEXTO E IDENTIFICACIÓN'!J23</f>
        <v xml:space="preserve"> por a causa de </v>
      </c>
      <c r="C26" s="115">
        <f>+'5 VALORACIÓN DEL CONTROL'!T115</f>
        <v>0.6</v>
      </c>
      <c r="D26" s="86">
        <f>+'5 VALORACIÓN DEL CONTROL'!U115</f>
        <v>0</v>
      </c>
      <c r="E26" s="116" t="str">
        <f t="shared" si="0"/>
        <v>Media</v>
      </c>
      <c r="F26" s="116" t="str">
        <f t="shared" si="1"/>
        <v/>
      </c>
      <c r="G26" s="85" t="b">
        <f t="shared" si="2"/>
        <v>0</v>
      </c>
      <c r="H26" s="87"/>
      <c r="I26" s="87"/>
      <c r="J26" s="87"/>
      <c r="K26" s="87"/>
      <c r="L26" s="87"/>
      <c r="M26" s="87"/>
      <c r="N26" s="87"/>
      <c r="O26" s="87"/>
      <c r="P26" s="87"/>
    </row>
    <row r="27" spans="1:38" ht="93" hidden="1" customHeight="1" x14ac:dyDescent="0.25">
      <c r="A27" s="84" t="str">
        <f>'2 CONTEXTO E IDENTIFICACIÓN'!A24</f>
        <v>R16</v>
      </c>
      <c r="B27" s="85" t="str">
        <f>+'2 CONTEXTO E IDENTIFICACIÓN'!J24</f>
        <v xml:space="preserve"> por a causa de </v>
      </c>
      <c r="C27" s="115">
        <f>+'5 VALORACIÓN DEL CONTROL'!T121</f>
        <v>0.6</v>
      </c>
      <c r="D27" s="86">
        <f>+'5 VALORACIÓN DEL CONTROL'!U121</f>
        <v>0</v>
      </c>
      <c r="E27" s="116" t="str">
        <f t="shared" si="0"/>
        <v>Media</v>
      </c>
      <c r="F27" s="116" t="str">
        <f t="shared" si="1"/>
        <v/>
      </c>
      <c r="G27" s="85" t="b">
        <f t="shared" si="2"/>
        <v>0</v>
      </c>
      <c r="H27" s="87"/>
      <c r="I27" s="87"/>
      <c r="J27" s="87"/>
      <c r="K27" s="87"/>
      <c r="L27" s="87"/>
      <c r="M27" s="87"/>
      <c r="N27" s="87"/>
      <c r="O27" s="87"/>
      <c r="P27" s="87"/>
    </row>
    <row r="28" spans="1:38" ht="93" hidden="1" customHeight="1" x14ac:dyDescent="0.25">
      <c r="A28" s="84" t="str">
        <f>'2 CONTEXTO E IDENTIFICACIÓN'!A25</f>
        <v>R17</v>
      </c>
      <c r="B28" s="85" t="str">
        <f>+'2 CONTEXTO E IDENTIFICACIÓN'!J25</f>
        <v xml:space="preserve"> por a causa de </v>
      </c>
      <c r="C28" s="115">
        <f>+'5 VALORACIÓN DEL CONTROL'!T127</f>
        <v>0.6</v>
      </c>
      <c r="D28" s="86">
        <f>+'5 VALORACIÓN DEL CONTROL'!U127</f>
        <v>0</v>
      </c>
      <c r="E28" s="116" t="str">
        <f t="shared" si="0"/>
        <v>Media</v>
      </c>
      <c r="F28" s="116" t="str">
        <f t="shared" si="1"/>
        <v/>
      </c>
      <c r="G28" s="85" t="b">
        <f t="shared" si="2"/>
        <v>0</v>
      </c>
      <c r="H28" s="87"/>
      <c r="I28" s="87"/>
      <c r="J28" s="87"/>
      <c r="K28" s="87"/>
      <c r="L28" s="87"/>
      <c r="M28" s="87"/>
      <c r="N28" s="87"/>
      <c r="O28" s="87"/>
      <c r="P28" s="87"/>
    </row>
    <row r="29" spans="1:38" ht="14.45" customHeight="1" x14ac:dyDescent="0.25">
      <c r="B29" s="67"/>
      <c r="D29" s="67"/>
      <c r="G29" s="67"/>
      <c r="H29" s="67"/>
      <c r="I29" s="67"/>
      <c r="J29" s="67"/>
      <c r="K29" s="67"/>
      <c r="L29" s="67"/>
      <c r="M29" s="67"/>
      <c r="N29" s="67"/>
      <c r="O29" s="67"/>
      <c r="P29" s="67"/>
      <c r="AA29" s="72"/>
      <c r="AB29" s="72"/>
      <c r="AC29" s="72"/>
      <c r="AD29" s="72"/>
      <c r="AE29" s="72"/>
      <c r="AF29" s="67"/>
      <c r="AG29" s="67"/>
      <c r="AH29" s="67"/>
      <c r="AI29" s="67"/>
      <c r="AJ29" s="67"/>
    </row>
    <row r="30" spans="1:38" ht="39" hidden="1" customHeight="1" x14ac:dyDescent="0.25">
      <c r="B30" s="67"/>
      <c r="D30" s="67"/>
      <c r="G30" s="67"/>
      <c r="H30" s="67"/>
      <c r="I30" s="67"/>
      <c r="J30" s="67"/>
      <c r="K30" s="67"/>
      <c r="L30" s="67"/>
      <c r="M30" s="67"/>
      <c r="N30" s="67"/>
      <c r="O30" s="67"/>
      <c r="P30" s="67"/>
      <c r="AA30" s="72"/>
      <c r="AB30" s="72"/>
      <c r="AC30" s="72"/>
      <c r="AD30" s="72"/>
      <c r="AE30" s="72"/>
      <c r="AF30" s="67"/>
      <c r="AG30" s="67"/>
      <c r="AH30" s="67"/>
      <c r="AI30" s="67"/>
      <c r="AJ30" s="67"/>
    </row>
    <row r="31" spans="1:38" ht="19.5" hidden="1" customHeight="1" x14ac:dyDescent="0.25">
      <c r="B31" s="67"/>
      <c r="D31" s="67"/>
      <c r="G31" s="67"/>
      <c r="H31" s="67"/>
      <c r="I31" s="67"/>
      <c r="J31" s="67"/>
      <c r="K31" s="67"/>
      <c r="L31" s="67"/>
      <c r="M31" s="67"/>
      <c r="N31" s="67"/>
      <c r="O31" s="67"/>
      <c r="P31" s="67"/>
      <c r="AA31" s="72"/>
      <c r="AB31" s="72"/>
      <c r="AC31" s="72"/>
      <c r="AD31" s="72"/>
      <c r="AE31" s="72"/>
      <c r="AF31" s="67"/>
      <c r="AG31" s="67"/>
      <c r="AH31" s="67"/>
      <c r="AI31" s="67"/>
      <c r="AJ31" s="67"/>
    </row>
    <row r="32" spans="1:38" ht="19.5" hidden="1" customHeight="1" x14ac:dyDescent="0.25">
      <c r="B32" s="67"/>
      <c r="D32" s="67"/>
      <c r="G32" s="67"/>
      <c r="H32" s="67"/>
      <c r="I32" s="67"/>
      <c r="J32" s="67"/>
      <c r="K32" s="67"/>
      <c r="L32" s="67"/>
      <c r="M32" s="67"/>
      <c r="N32" s="67"/>
      <c r="O32" s="67"/>
      <c r="P32" s="67"/>
      <c r="AA32" s="72"/>
      <c r="AB32" s="72"/>
      <c r="AC32" s="72"/>
      <c r="AD32" s="72"/>
      <c r="AE32" s="72"/>
      <c r="AF32" s="67"/>
      <c r="AG32" s="67"/>
      <c r="AH32" s="67"/>
      <c r="AI32" s="67"/>
      <c r="AJ32" s="67"/>
    </row>
    <row r="33" spans="3:31" s="67" customFormat="1" ht="19.5" hidden="1" customHeight="1" x14ac:dyDescent="0.25">
      <c r="C33" s="72"/>
      <c r="E33" s="117"/>
      <c r="F33" s="117"/>
      <c r="AA33" s="72"/>
      <c r="AB33" s="72"/>
      <c r="AC33" s="72"/>
      <c r="AD33" s="72"/>
      <c r="AE33" s="72"/>
    </row>
    <row r="34" spans="3:31" s="67" customFormat="1" ht="19.5" hidden="1" customHeight="1" x14ac:dyDescent="0.25">
      <c r="C34" s="72"/>
      <c r="E34" s="117"/>
      <c r="F34" s="117"/>
      <c r="AA34" s="72"/>
      <c r="AB34" s="72"/>
      <c r="AC34" s="72"/>
      <c r="AD34" s="72"/>
      <c r="AE34" s="72"/>
    </row>
    <row r="35" spans="3:31" s="67" customFormat="1" ht="19.5" hidden="1" customHeight="1" x14ac:dyDescent="0.25">
      <c r="C35" s="72"/>
      <c r="E35" s="117"/>
      <c r="F35" s="117"/>
      <c r="AA35" s="72"/>
      <c r="AB35" s="72"/>
      <c r="AC35" s="72"/>
      <c r="AD35" s="72"/>
      <c r="AE35" s="72"/>
    </row>
  </sheetData>
  <sheetProtection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45" priority="1" operator="equal">
      <formula>$S$13</formula>
    </cfRule>
    <cfRule type="cellIs" dxfId="44" priority="2" operator="equal">
      <formula>$S$12</formula>
    </cfRule>
    <cfRule type="cellIs" dxfId="43" priority="3" operator="equal">
      <formula>$S$11</formula>
    </cfRule>
    <cfRule type="cellIs" dxfId="42" priority="4" operator="equal">
      <formula>$S$10</formula>
    </cfRule>
    <cfRule type="cellIs" dxfId="41" priority="5" operator="equal">
      <formula>$S$9</formula>
    </cfRule>
  </conditionalFormatting>
  <conditionalFormatting sqref="F9:F28">
    <cfRule type="cellIs" dxfId="40" priority="6" operator="equal">
      <formula>$T$8</formula>
    </cfRule>
    <cfRule type="cellIs" dxfId="39" priority="7" operator="equal">
      <formula>$U$8</formula>
    </cfRule>
    <cfRule type="cellIs" dxfId="38" priority="8" operator="equal">
      <formula>$V$8</formula>
    </cfRule>
    <cfRule type="cellIs" dxfId="37" priority="9" operator="equal">
      <formula>$W$8</formula>
    </cfRule>
    <cfRule type="cellIs" dxfId="36" priority="10" operator="equal">
      <formula>$X$8</formula>
    </cfRule>
  </conditionalFormatting>
  <conditionalFormatting sqref="G9:G28">
    <cfRule type="cellIs" dxfId="35" priority="16" operator="equal">
      <formula>$T$16</formula>
    </cfRule>
    <cfRule type="cellIs" dxfId="34" priority="17" operator="equal">
      <formula>$T$17</formula>
    </cfRule>
    <cfRule type="cellIs" dxfId="33" priority="18" operator="equal">
      <formula>$T$18</formula>
    </cfRule>
    <cfRule type="cellIs" dxfId="32"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59" zoomScaleNormal="70" workbookViewId="0">
      <pane xSplit="1" ySplit="9" topLeftCell="B10" activePane="bottomRight" state="frozen"/>
      <selection pane="topRight" activeCell="B1" sqref="B1"/>
      <selection pane="bottomLeft" activeCell="A7" sqref="A7"/>
      <selection pane="bottomRight" activeCell="AC30" sqref="AC30"/>
    </sheetView>
  </sheetViews>
  <sheetFormatPr baseColWidth="10" defaultColWidth="0" defaultRowHeight="12.75" zeroHeight="1" x14ac:dyDescent="0.25"/>
  <cols>
    <col min="1" max="1" width="11.42578125" style="67" customWidth="1"/>
    <col min="2" max="2" width="9.140625" style="72" bestFit="1" customWidth="1"/>
    <col min="3" max="4" width="15.42578125" style="72" customWidth="1"/>
    <col min="5" max="6" width="15.42578125" style="117" customWidth="1"/>
    <col min="7" max="7" width="15.42578125" style="72" customWidth="1"/>
    <col min="8" max="8" width="3.85546875" style="72" customWidth="1"/>
    <col min="9" max="9" width="7.42578125" style="72" customWidth="1"/>
    <col min="10" max="10" width="14" style="72" customWidth="1"/>
    <col min="11" max="15" width="12.42578125" style="72" customWidth="1"/>
    <col min="16" max="16" width="3.85546875" style="72" customWidth="1"/>
    <col min="17" max="17" width="4.85546875" style="67" hidden="1" customWidth="1"/>
    <col min="18" max="18" width="6.140625" style="67" hidden="1" customWidth="1"/>
    <col min="19" max="24" width="14" style="67" hidden="1" customWidth="1"/>
    <col min="25" max="29" width="11.42578125" style="67" customWidth="1"/>
    <col min="30" max="30" width="5.42578125" style="67" bestFit="1" customWidth="1"/>
    <col min="31" max="31" width="26.85546875" style="67" customWidth="1"/>
    <col min="32" max="32" width="22.85546875" style="72" customWidth="1"/>
    <col min="33" max="36" width="22.85546875" style="72" hidden="1" customWidth="1"/>
    <col min="37" max="37" width="23.42578125" style="67" hidden="1" customWidth="1"/>
    <col min="38" max="265" width="11.42578125" style="67" hidden="1" customWidth="1"/>
    <col min="266" max="266" width="12.42578125" style="67" hidden="1" customWidth="1"/>
    <col min="267" max="267" width="47" style="67" hidden="1" customWidth="1"/>
    <col min="268" max="268" width="35" style="67" hidden="1" customWidth="1"/>
    <col min="269" max="16384" width="14.42578125" style="67" hidden="1"/>
  </cols>
  <sheetData>
    <row r="1" spans="1:38" s="55" customFormat="1" ht="36" customHeight="1" x14ac:dyDescent="0.2">
      <c r="A1" s="476"/>
      <c r="B1" s="482" t="str">
        <f>+'2 CONTEXTO E IDENTIFICACIÓN'!A1</f>
        <v>MAPA DE RIESGOS</v>
      </c>
      <c r="C1" s="482"/>
      <c r="D1" s="482"/>
      <c r="E1" s="472"/>
      <c r="F1" s="473"/>
      <c r="J1" s="216" t="str">
        <f>+'2 CONTEXTO E IDENTIFICACIÓN'!$I$4</f>
        <v>Elaboración o Actualización:</v>
      </c>
      <c r="K1" s="230" t="str">
        <f>'2 CONTEXTO E IDENTIFICACIÓN'!J4</f>
        <v>9 de diciembre de 2025</v>
      </c>
      <c r="L1" s="13"/>
      <c r="M1" s="13"/>
      <c r="AF1" s="56"/>
      <c r="AG1" s="56"/>
      <c r="AH1" s="56"/>
      <c r="AI1" s="56"/>
      <c r="AJ1" s="56"/>
    </row>
    <row r="2" spans="1:38" s="55" customFormat="1" ht="36" customHeight="1" x14ac:dyDescent="0.2">
      <c r="A2" s="476"/>
      <c r="B2" s="482"/>
      <c r="C2" s="482"/>
      <c r="D2" s="482"/>
      <c r="E2" s="38" t="str">
        <f>+'2 CONTEXTO E IDENTIFICACIÓN'!A2</f>
        <v>VERSIÓN:</v>
      </c>
      <c r="F2" s="111">
        <f>'2 CONTEXTO E IDENTIFICACIÓN'!B2</f>
        <v>1</v>
      </c>
      <c r="G2" s="57"/>
      <c r="H2" s="57"/>
      <c r="J2" s="219" t="str">
        <f>+'2 CONTEXTO E IDENTIFICACIÓN'!$E$5</f>
        <v>Vigencia:  2026</v>
      </c>
      <c r="K2" s="217" t="str">
        <f>'2 CONTEXTO E IDENTIFICACIÓN'!G5</f>
        <v>1 de enero de 2026</v>
      </c>
      <c r="L2" s="218" t="s">
        <v>99</v>
      </c>
      <c r="M2" s="215" t="str">
        <f>'2 CONTEXTO E IDENTIFICACIÓN'!J5</f>
        <v>31 de diciembre de 2026</v>
      </c>
      <c r="N2" s="58"/>
      <c r="O2" s="58"/>
      <c r="P2" s="57"/>
      <c r="AF2" s="56"/>
      <c r="AG2" s="56"/>
      <c r="AH2" s="56"/>
      <c r="AI2" s="56"/>
      <c r="AJ2" s="56"/>
    </row>
    <row r="3" spans="1:38" s="55" customFormat="1" x14ac:dyDescent="0.2">
      <c r="A3" s="59"/>
      <c r="B3" s="57"/>
      <c r="C3" s="57"/>
      <c r="D3" s="57"/>
      <c r="E3" s="220"/>
      <c r="F3" s="220"/>
      <c r="G3" s="57"/>
      <c r="H3" s="57"/>
      <c r="N3" s="58"/>
      <c r="O3" s="58"/>
      <c r="P3" s="57"/>
      <c r="AF3" s="56"/>
      <c r="AG3" s="56"/>
      <c r="AH3" s="56"/>
      <c r="AI3" s="56"/>
      <c r="AJ3" s="56"/>
    </row>
    <row r="4" spans="1:38" s="55" customFormat="1" ht="17.45" customHeight="1" x14ac:dyDescent="0.2">
      <c r="A4" s="12" t="s">
        <v>95</v>
      </c>
      <c r="B4" s="462" t="str">
        <f>'2 CONTEXTO E IDENTIFICACIÓN'!B4</f>
        <v>SUPERSOLIDARIA</v>
      </c>
      <c r="C4" s="462"/>
      <c r="D4" s="462"/>
      <c r="E4" s="53"/>
      <c r="F4" s="220"/>
      <c r="G4" s="57"/>
      <c r="H4" s="57"/>
      <c r="I4" s="221"/>
      <c r="J4" s="221"/>
      <c r="K4" s="222"/>
      <c r="L4" s="222"/>
      <c r="M4" s="222"/>
      <c r="N4" s="58"/>
      <c r="O4" s="58"/>
      <c r="P4" s="57"/>
      <c r="AF4" s="56"/>
      <c r="AG4" s="56"/>
      <c r="AH4" s="56"/>
      <c r="AI4" s="56"/>
      <c r="AJ4" s="56"/>
    </row>
    <row r="5" spans="1:38" s="55" customFormat="1" ht="33" customHeight="1" x14ac:dyDescent="0.2">
      <c r="A5" s="12" t="s">
        <v>96</v>
      </c>
      <c r="B5" s="462" t="str">
        <f>'2 CONTEXTO E IDENTIFICACIÓN'!F4</f>
        <v>GEGI</v>
      </c>
      <c r="C5" s="463"/>
      <c r="D5" s="463"/>
      <c r="E5" s="53"/>
      <c r="F5" s="220"/>
      <c r="G5" s="57"/>
      <c r="H5" s="57"/>
      <c r="I5" s="221"/>
      <c r="J5" s="221"/>
      <c r="K5" s="222"/>
      <c r="L5" s="222"/>
      <c r="M5" s="222"/>
      <c r="N5" s="58"/>
      <c r="O5" s="58"/>
      <c r="P5" s="57"/>
      <c r="AF5" s="56"/>
      <c r="AG5" s="56"/>
      <c r="AH5" s="56"/>
      <c r="AI5" s="56"/>
      <c r="AJ5" s="56"/>
    </row>
    <row r="6" spans="1:38" s="55" customFormat="1" ht="15" thickBot="1" x14ac:dyDescent="0.25">
      <c r="D6" s="53"/>
      <c r="E6" s="53"/>
      <c r="F6" s="113"/>
      <c r="AF6" s="56"/>
      <c r="AG6" s="56"/>
      <c r="AH6" s="56"/>
      <c r="AI6" s="56"/>
      <c r="AJ6" s="56"/>
    </row>
    <row r="7" spans="1:38" s="55" customFormat="1" ht="13.5" thickBot="1" x14ac:dyDescent="0.25">
      <c r="A7" s="543" t="s">
        <v>301</v>
      </c>
      <c r="B7" s="544"/>
      <c r="C7" s="544"/>
      <c r="D7" s="544"/>
      <c r="E7" s="544"/>
      <c r="F7" s="544"/>
      <c r="G7" s="545"/>
      <c r="I7" s="543" t="s">
        <v>329</v>
      </c>
      <c r="J7" s="544"/>
      <c r="K7" s="544"/>
      <c r="L7" s="544"/>
      <c r="M7" s="544"/>
      <c r="N7" s="544"/>
      <c r="O7" s="545"/>
      <c r="R7" s="60"/>
      <c r="S7" s="61"/>
      <c r="T7" s="474" t="s">
        <v>165</v>
      </c>
      <c r="U7" s="474"/>
      <c r="V7" s="474"/>
      <c r="W7" s="474"/>
      <c r="X7" s="475"/>
      <c r="AF7" s="56"/>
      <c r="AG7" s="56"/>
      <c r="AH7" s="56"/>
      <c r="AI7" s="56"/>
      <c r="AJ7" s="56"/>
    </row>
    <row r="8" spans="1:38" x14ac:dyDescent="0.25">
      <c r="A8" s="65"/>
      <c r="B8" s="66"/>
      <c r="C8" s="474" t="s">
        <v>165</v>
      </c>
      <c r="D8" s="474"/>
      <c r="E8" s="474"/>
      <c r="F8" s="474"/>
      <c r="G8" s="475"/>
      <c r="H8" s="64"/>
      <c r="I8" s="65"/>
      <c r="J8" s="66"/>
      <c r="K8" s="474" t="s">
        <v>165</v>
      </c>
      <c r="L8" s="474"/>
      <c r="M8" s="474"/>
      <c r="N8" s="474"/>
      <c r="O8" s="475"/>
      <c r="P8" s="64"/>
      <c r="R8" s="68"/>
      <c r="T8" s="69">
        <v>0.2</v>
      </c>
      <c r="U8" s="69">
        <v>0.4</v>
      </c>
      <c r="V8" s="69">
        <v>0.6</v>
      </c>
      <c r="W8" s="69">
        <v>0.8</v>
      </c>
      <c r="X8" s="70">
        <v>1</v>
      </c>
      <c r="Y8" s="71"/>
      <c r="Z8" s="71"/>
      <c r="AA8" s="71"/>
      <c r="AB8" s="71"/>
      <c r="AC8" s="71"/>
      <c r="AD8" s="71"/>
      <c r="AE8" s="71"/>
    </row>
    <row r="9" spans="1:38" x14ac:dyDescent="0.2">
      <c r="A9" s="68"/>
      <c r="B9" s="77"/>
      <c r="C9" s="78" t="s">
        <v>279</v>
      </c>
      <c r="D9" s="78" t="s">
        <v>283</v>
      </c>
      <c r="E9" s="78" t="s">
        <v>287</v>
      </c>
      <c r="F9" s="78" t="s">
        <v>292</v>
      </c>
      <c r="G9" s="79" t="s">
        <v>297</v>
      </c>
      <c r="H9" s="64"/>
      <c r="I9" s="68"/>
      <c r="J9" s="77"/>
      <c r="K9" s="78" t="s">
        <v>279</v>
      </c>
      <c r="L9" s="78" t="s">
        <v>283</v>
      </c>
      <c r="M9" s="78" t="s">
        <v>287</v>
      </c>
      <c r="N9" s="78" t="s">
        <v>292</v>
      </c>
      <c r="O9" s="79" t="s">
        <v>297</v>
      </c>
      <c r="P9" s="64"/>
      <c r="R9" s="68"/>
      <c r="S9" s="80"/>
      <c r="T9" s="81" t="s">
        <v>279</v>
      </c>
      <c r="U9" s="81" t="s">
        <v>283</v>
      </c>
      <c r="V9" s="81" t="s">
        <v>287</v>
      </c>
      <c r="W9" s="81" t="s">
        <v>292</v>
      </c>
      <c r="X9" s="82" t="s">
        <v>297</v>
      </c>
      <c r="AA9" s="71"/>
      <c r="AB9" s="71"/>
      <c r="AC9" s="83"/>
      <c r="AD9" s="83"/>
      <c r="AE9" s="83"/>
      <c r="AF9" s="83"/>
      <c r="AG9" s="83"/>
      <c r="AH9" s="83"/>
      <c r="AI9" s="83"/>
      <c r="AJ9" s="83"/>
      <c r="AK9" s="83"/>
      <c r="AL9" s="83"/>
    </row>
    <row r="10" spans="1:38" ht="55.5" customHeight="1" x14ac:dyDescent="0.2">
      <c r="A10" s="480" t="s">
        <v>146</v>
      </c>
      <c r="B10" s="78" t="s">
        <v>295</v>
      </c>
      <c r="C10" s="88" t="str">
        <f>+'4 MAPA CALOR INHERENTE'!I9</f>
        <v xml:space="preserve">                   </v>
      </c>
      <c r="D10" s="88" t="str">
        <f>+'4 MAPA CALOR INHERENTE'!J9</f>
        <v xml:space="preserve">                   </v>
      </c>
      <c r="E10" s="88" t="str">
        <f>+'4 MAPA CALOR INHERENTE'!K9</f>
        <v xml:space="preserve">                   </v>
      </c>
      <c r="F10" s="88" t="str">
        <f>+'4 MAPA CALOR INHERENTE'!L9</f>
        <v xml:space="preserve">                   </v>
      </c>
      <c r="G10" s="89" t="str">
        <f>+'4 MAPA CALOR INHERENTE'!M9</f>
        <v xml:space="preserve">                   </v>
      </c>
      <c r="H10" s="87"/>
      <c r="I10" s="480" t="s">
        <v>146</v>
      </c>
      <c r="J10" s="78" t="s">
        <v>295</v>
      </c>
      <c r="K10" s="88" t="str">
        <f>+'6 MAPA CALOR RESIDUAL'!K9</f>
        <v xml:space="preserve">                   </v>
      </c>
      <c r="L10" s="88" t="str">
        <f>+'6 MAPA CALOR RESIDUAL'!L9</f>
        <v xml:space="preserve">                   </v>
      </c>
      <c r="M10" s="88" t="str">
        <f>+'6 MAPA CALOR RESIDUAL'!M9</f>
        <v xml:space="preserve">                   </v>
      </c>
      <c r="N10" s="88" t="str">
        <f>+'6 MAPA CALOR RESIDUAL'!N9</f>
        <v xml:space="preserve">                   </v>
      </c>
      <c r="O10" s="89" t="str">
        <f>+'6 MAPA CALOR RESIDUAL'!O9</f>
        <v xml:space="preserve">                   </v>
      </c>
      <c r="P10" s="87"/>
      <c r="Q10" s="542" t="s">
        <v>146</v>
      </c>
      <c r="R10" s="90">
        <v>1</v>
      </c>
      <c r="S10" s="81" t="s">
        <v>295</v>
      </c>
      <c r="T10" s="88" t="s">
        <v>305</v>
      </c>
      <c r="U10" s="88" t="s">
        <v>305</v>
      </c>
      <c r="V10" s="88" t="s">
        <v>305</v>
      </c>
      <c r="W10" s="88" t="s">
        <v>305</v>
      </c>
      <c r="X10" s="89" t="s">
        <v>306</v>
      </c>
      <c r="AA10" s="71"/>
      <c r="AB10" s="71"/>
      <c r="AC10" s="83"/>
      <c r="AD10" s="83"/>
      <c r="AE10" s="83"/>
      <c r="AF10" s="91"/>
      <c r="AG10" s="91"/>
      <c r="AH10" s="91"/>
      <c r="AI10" s="91"/>
      <c r="AJ10" s="91"/>
      <c r="AK10" s="83"/>
      <c r="AL10" s="83"/>
    </row>
    <row r="11" spans="1:38" ht="55.5" customHeight="1" x14ac:dyDescent="0.2">
      <c r="A11" s="480"/>
      <c r="B11" s="78" t="s">
        <v>290</v>
      </c>
      <c r="C11" s="92" t="str">
        <f>+'4 MAPA CALOR INHERENTE'!I10</f>
        <v xml:space="preserve">                   </v>
      </c>
      <c r="D11" s="92" t="str">
        <f>+'4 MAPA CALOR INHERENTE'!J10</f>
        <v xml:space="preserve">                   </v>
      </c>
      <c r="E11" s="88" t="str">
        <f>+'4 MAPA CALOR INHERENTE'!K10</f>
        <v xml:space="preserve">                   </v>
      </c>
      <c r="F11" s="88" t="str">
        <f>+'4 MAPA CALOR INHERENTE'!L10</f>
        <v xml:space="preserve">                   </v>
      </c>
      <c r="G11" s="89" t="str">
        <f>+'4 MAPA CALOR INHERENTE'!M10</f>
        <v xml:space="preserve">                   </v>
      </c>
      <c r="H11" s="87"/>
      <c r="I11" s="480"/>
      <c r="J11" s="78" t="s">
        <v>290</v>
      </c>
      <c r="K11" s="92" t="str">
        <f>+'6 MAPA CALOR RESIDUAL'!K10</f>
        <v xml:space="preserve">                   </v>
      </c>
      <c r="L11" s="92" t="str">
        <f>+'6 MAPA CALOR RESIDUAL'!L10</f>
        <v xml:space="preserve">                   </v>
      </c>
      <c r="M11" s="88" t="str">
        <f>+'6 MAPA CALOR RESIDUAL'!M10</f>
        <v xml:space="preserve">                   </v>
      </c>
      <c r="N11" s="88" t="str">
        <f>+'6 MAPA CALOR RESIDUAL'!N10</f>
        <v xml:space="preserve">                   </v>
      </c>
      <c r="O11" s="89" t="str">
        <f>+'6 MAPA CALOR RESIDUAL'!O10</f>
        <v xml:space="preserve">                   </v>
      </c>
      <c r="P11" s="87"/>
      <c r="Q11" s="542"/>
      <c r="R11" s="90">
        <v>0.8</v>
      </c>
      <c r="S11" s="81" t="s">
        <v>290</v>
      </c>
      <c r="T11" s="92" t="s">
        <v>287</v>
      </c>
      <c r="U11" s="92" t="s">
        <v>287</v>
      </c>
      <c r="V11" s="88" t="s">
        <v>305</v>
      </c>
      <c r="W11" s="88" t="s">
        <v>305</v>
      </c>
      <c r="X11" s="89" t="s">
        <v>306</v>
      </c>
      <c r="AA11" s="71"/>
      <c r="AB11" s="71"/>
      <c r="AC11" s="83"/>
      <c r="AD11" s="93"/>
      <c r="AE11" s="94"/>
      <c r="AF11" s="91"/>
      <c r="AG11" s="91"/>
      <c r="AH11" s="91"/>
      <c r="AI11" s="91"/>
      <c r="AJ11" s="91"/>
      <c r="AK11" s="83"/>
      <c r="AL11" s="83"/>
    </row>
    <row r="12" spans="1:38" ht="55.5" customHeight="1" x14ac:dyDescent="0.2">
      <c r="A12" s="480"/>
      <c r="B12" s="78" t="s">
        <v>285</v>
      </c>
      <c r="C12" s="92" t="str">
        <f>+'4 MAPA CALOR INHERENTE'!I11</f>
        <v xml:space="preserve">                   </v>
      </c>
      <c r="D12" s="92" t="str">
        <f>+'4 MAPA CALOR INHERENTE'!J11</f>
        <v xml:space="preserve">GEGI-1                   </v>
      </c>
      <c r="E12" s="92" t="str">
        <f>+'4 MAPA CALOR INHERENTE'!K11</f>
        <v xml:space="preserve">                   </v>
      </c>
      <c r="F12" s="88" t="str">
        <f>+'4 MAPA CALOR INHERENTE'!L11</f>
        <v xml:space="preserve">                   </v>
      </c>
      <c r="G12" s="89" t="str">
        <f>+'4 MAPA CALOR INHERENTE'!M11</f>
        <v xml:space="preserve"> GEGI-2                  </v>
      </c>
      <c r="H12" s="87"/>
      <c r="I12" s="480"/>
      <c r="J12" s="78" t="s">
        <v>285</v>
      </c>
      <c r="K12" s="92" t="str">
        <f>+'6 MAPA CALOR RESIDUAL'!K11</f>
        <v xml:space="preserve">  GEGI-13   GEGI-12 R8             </v>
      </c>
      <c r="L12" s="92" t="str">
        <f>+'6 MAPA CALOR RESIDUAL'!L11</f>
        <v xml:space="preserve">GEGI-1    GEGI-15               </v>
      </c>
      <c r="M12" s="92" t="str">
        <f>+'6 MAPA CALOR RESIDUAL'!M11</f>
        <v xml:space="preserve">   GEGI-14                </v>
      </c>
      <c r="N12" s="88" t="str">
        <f>+'6 MAPA CALOR RESIDUAL'!N11</f>
        <v xml:space="preserve">                   </v>
      </c>
      <c r="O12" s="89" t="str">
        <f>+'6 MAPA CALOR RESIDUAL'!O11</f>
        <v xml:space="preserve"> GEGI-10                  </v>
      </c>
      <c r="P12" s="87"/>
      <c r="Q12" s="542"/>
      <c r="R12" s="90">
        <v>0.6</v>
      </c>
      <c r="S12" s="81" t="s">
        <v>285</v>
      </c>
      <c r="T12" s="92" t="s">
        <v>287</v>
      </c>
      <c r="U12" s="92" t="s">
        <v>287</v>
      </c>
      <c r="V12" s="92" t="s">
        <v>287</v>
      </c>
      <c r="W12" s="88" t="s">
        <v>305</v>
      </c>
      <c r="X12" s="89" t="s">
        <v>306</v>
      </c>
      <c r="AA12" s="71"/>
      <c r="AB12" s="71"/>
      <c r="AC12" s="83"/>
      <c r="AD12" s="93"/>
      <c r="AE12" s="94"/>
      <c r="AF12" s="91"/>
      <c r="AG12" s="91"/>
      <c r="AH12" s="91"/>
      <c r="AI12" s="91"/>
      <c r="AJ12" s="95"/>
      <c r="AK12" s="83"/>
      <c r="AL12" s="83"/>
    </row>
    <row r="13" spans="1:38" ht="55.5" customHeight="1" x14ac:dyDescent="0.2">
      <c r="A13" s="480"/>
      <c r="B13" s="78" t="s">
        <v>281</v>
      </c>
      <c r="C13" s="96" t="str">
        <f>+'4 MAPA CALOR INHERENTE'!I12</f>
        <v xml:space="preserve">  GEGI-10   GEGI-15 GEGI-12             </v>
      </c>
      <c r="D13" s="92" t="str">
        <f>+'4 MAPA CALOR INHERENTE'!J12</f>
        <v xml:space="preserve">    GEGI-14               </v>
      </c>
      <c r="E13" s="92" t="str">
        <f>+'4 MAPA CALOR INHERENTE'!K12</f>
        <v xml:space="preserve">   GEGI-13                </v>
      </c>
      <c r="F13" s="88" t="str">
        <f>+'4 MAPA CALOR INHERENTE'!L12</f>
        <v xml:space="preserve">                   </v>
      </c>
      <c r="G13" s="89" t="str">
        <f>+'4 MAPA CALOR INHERENTE'!M12</f>
        <v xml:space="preserve">                   </v>
      </c>
      <c r="H13" s="87"/>
      <c r="I13" s="480"/>
      <c r="J13" s="78" t="s">
        <v>281</v>
      </c>
      <c r="K13" s="96" t="str">
        <f>+'6 MAPA CALOR RESIDUAL'!K12</f>
        <v xml:space="preserve">                   </v>
      </c>
      <c r="L13" s="92" t="str">
        <f>+'6 MAPA CALOR RESIDUAL'!L12</f>
        <v xml:space="preserve">                   </v>
      </c>
      <c r="M13" s="92" t="str">
        <f>+'6 MAPA CALOR RESIDUAL'!M12</f>
        <v xml:space="preserve">                   </v>
      </c>
      <c r="N13" s="88" t="str">
        <f>+'6 MAPA CALOR RESIDUAL'!N12</f>
        <v xml:space="preserve">                   </v>
      </c>
      <c r="O13" s="89" t="str">
        <f>+'6 MAPA CALOR RESIDUAL'!O12</f>
        <v xml:space="preserve">                   </v>
      </c>
      <c r="P13" s="87"/>
      <c r="Q13" s="542"/>
      <c r="R13" s="90">
        <v>0.4</v>
      </c>
      <c r="S13" s="81" t="s">
        <v>281</v>
      </c>
      <c r="T13" s="96" t="s">
        <v>307</v>
      </c>
      <c r="U13" s="92" t="s">
        <v>287</v>
      </c>
      <c r="V13" s="92" t="s">
        <v>287</v>
      </c>
      <c r="W13" s="88" t="s">
        <v>305</v>
      </c>
      <c r="X13" s="89" t="s">
        <v>306</v>
      </c>
      <c r="AA13" s="71"/>
      <c r="AB13" s="71"/>
      <c r="AC13" s="83"/>
      <c r="AD13" s="93"/>
      <c r="AE13" s="94"/>
      <c r="AF13" s="91"/>
      <c r="AG13" s="91"/>
      <c r="AH13" s="91"/>
      <c r="AI13" s="95"/>
      <c r="AJ13" s="91"/>
      <c r="AK13" s="83"/>
      <c r="AL13" s="83"/>
    </row>
    <row r="14" spans="1:38" ht="55.5" customHeight="1" thickBot="1" x14ac:dyDescent="0.25">
      <c r="A14" s="481"/>
      <c r="B14" s="97" t="s">
        <v>277</v>
      </c>
      <c r="C14" s="98" t="str">
        <f>+'4 MAPA CALOR INHERENTE'!I13</f>
        <v xml:space="preserve">                   </v>
      </c>
      <c r="D14" s="98" t="str">
        <f>+'4 MAPA CALOR INHERENTE'!J13</f>
        <v xml:space="preserve">                   </v>
      </c>
      <c r="E14" s="99" t="str">
        <f>+'4 MAPA CALOR INHERENTE'!K13</f>
        <v xml:space="preserve">                   </v>
      </c>
      <c r="F14" s="100" t="str">
        <f>+'4 MAPA CALOR INHERENTE'!L13</f>
        <v xml:space="preserve">                   </v>
      </c>
      <c r="G14" s="101" t="str">
        <f>+'4 MAPA CALOR INHERENTE'!M13</f>
        <v xml:space="preserve">                   </v>
      </c>
      <c r="H14" s="87"/>
      <c r="I14" s="481"/>
      <c r="J14" s="97" t="s">
        <v>277</v>
      </c>
      <c r="K14" s="98" t="str">
        <f>+'6 MAPA CALOR RESIDUAL'!K13</f>
        <v xml:space="preserve">                   </v>
      </c>
      <c r="L14" s="98" t="str">
        <f>+'6 MAPA CALOR RESIDUAL'!L13</f>
        <v xml:space="preserve">                   </v>
      </c>
      <c r="M14" s="99" t="str">
        <f>+'6 MAPA CALOR RESIDUAL'!M13</f>
        <v xml:space="preserve">                   </v>
      </c>
      <c r="N14" s="100" t="str">
        <f>+'6 MAPA CALOR RESIDUAL'!N13</f>
        <v xml:space="preserve">                   </v>
      </c>
      <c r="O14" s="101" t="str">
        <f>+'6 MAPA CALOR RESIDUAL'!O13</f>
        <v xml:space="preserve">                   </v>
      </c>
      <c r="P14" s="87"/>
      <c r="Q14" s="542"/>
      <c r="R14" s="102">
        <v>0.2</v>
      </c>
      <c r="S14" s="103" t="s">
        <v>277</v>
      </c>
      <c r="T14" s="98" t="s">
        <v>307</v>
      </c>
      <c r="U14" s="98" t="s">
        <v>307</v>
      </c>
      <c r="V14" s="99" t="s">
        <v>287</v>
      </c>
      <c r="W14" s="100" t="s">
        <v>305</v>
      </c>
      <c r="X14" s="101" t="s">
        <v>306</v>
      </c>
      <c r="AA14" s="71"/>
      <c r="AB14" s="71"/>
      <c r="AC14" s="83"/>
      <c r="AD14" s="93"/>
      <c r="AE14" s="94"/>
      <c r="AF14" s="91"/>
      <c r="AG14" s="91"/>
      <c r="AH14" s="91"/>
      <c r="AI14" s="104"/>
      <c r="AJ14" s="91"/>
      <c r="AK14" s="83"/>
      <c r="AL14" s="83"/>
    </row>
    <row r="15" spans="1:38" x14ac:dyDescent="0.2">
      <c r="A15" s="72"/>
      <c r="B15" s="87"/>
      <c r="C15" s="186"/>
      <c r="D15" s="187"/>
      <c r="E15" s="188"/>
      <c r="F15" s="188"/>
      <c r="G15" s="87"/>
      <c r="H15" s="87"/>
      <c r="I15" s="87"/>
      <c r="J15" s="87"/>
      <c r="K15" s="87"/>
      <c r="L15" s="87"/>
      <c r="M15" s="87"/>
      <c r="N15" s="87"/>
      <c r="O15" s="87"/>
      <c r="P15" s="87"/>
      <c r="AA15" s="71"/>
      <c r="AB15" s="71"/>
      <c r="AC15" s="83"/>
      <c r="AD15" s="93"/>
      <c r="AE15" s="94"/>
      <c r="AF15" s="91"/>
      <c r="AG15" s="91"/>
      <c r="AH15" s="91"/>
      <c r="AI15" s="91"/>
      <c r="AJ15" s="91"/>
      <c r="AK15" s="83"/>
      <c r="AL15" s="83"/>
    </row>
    <row r="16" spans="1:38" ht="25.5" x14ac:dyDescent="0.2">
      <c r="A16" s="72"/>
      <c r="B16" s="87"/>
      <c r="C16" s="186"/>
      <c r="D16" s="187"/>
      <c r="E16" s="188"/>
      <c r="F16" s="188"/>
      <c r="G16" s="87"/>
      <c r="H16" s="87"/>
      <c r="I16" s="87"/>
      <c r="J16" s="87"/>
      <c r="K16" s="87"/>
      <c r="L16" s="87"/>
      <c r="M16" s="87"/>
      <c r="N16" s="87"/>
      <c r="O16" s="87"/>
      <c r="P16" s="87"/>
      <c r="T16" s="75" t="s">
        <v>308</v>
      </c>
      <c r="V16" s="71"/>
      <c r="W16" s="71"/>
      <c r="X16" s="71"/>
      <c r="Y16" s="71"/>
      <c r="Z16" s="71"/>
      <c r="AA16" s="71"/>
      <c r="AB16" s="71"/>
      <c r="AC16" s="83"/>
      <c r="AD16" s="93"/>
      <c r="AE16" s="83"/>
      <c r="AF16" s="94"/>
      <c r="AG16" s="94"/>
      <c r="AH16" s="94"/>
      <c r="AI16" s="94"/>
      <c r="AJ16" s="94"/>
      <c r="AK16" s="83"/>
      <c r="AL16" s="83"/>
    </row>
    <row r="17" spans="1:38" x14ac:dyDescent="0.2">
      <c r="A17" s="72"/>
      <c r="B17" s="87"/>
      <c r="C17" s="186"/>
      <c r="D17" s="187"/>
      <c r="E17" s="188"/>
      <c r="F17" s="188"/>
      <c r="G17" s="87"/>
      <c r="H17" s="87"/>
      <c r="I17" s="87"/>
      <c r="J17" s="87"/>
      <c r="K17" s="87"/>
      <c r="L17" s="87"/>
      <c r="M17" s="87"/>
      <c r="N17" s="87"/>
      <c r="O17" s="87"/>
      <c r="P17" s="87"/>
      <c r="T17" s="105" t="s">
        <v>306</v>
      </c>
      <c r="V17" s="71"/>
      <c r="W17" s="71"/>
      <c r="X17" s="71"/>
      <c r="Y17" s="71"/>
      <c r="Z17" s="71"/>
      <c r="AA17" s="71"/>
      <c r="AB17" s="71"/>
      <c r="AC17" s="83"/>
      <c r="AD17" s="83"/>
      <c r="AE17" s="83"/>
      <c r="AF17" s="91"/>
      <c r="AG17" s="91"/>
      <c r="AH17" s="91"/>
      <c r="AI17" s="91"/>
      <c r="AJ17" s="91"/>
      <c r="AK17" s="83"/>
      <c r="AL17" s="83"/>
    </row>
    <row r="18" spans="1:38" x14ac:dyDescent="0.2">
      <c r="A18" s="72"/>
      <c r="B18" s="87"/>
      <c r="C18" s="186"/>
      <c r="D18" s="187"/>
      <c r="E18" s="188"/>
      <c r="F18" s="188"/>
      <c r="G18" s="87"/>
      <c r="H18" s="87"/>
      <c r="I18" s="87"/>
      <c r="J18" s="87"/>
      <c r="K18" s="87"/>
      <c r="L18" s="87"/>
      <c r="M18" s="87"/>
      <c r="N18" s="87"/>
      <c r="O18" s="87"/>
      <c r="P18" s="87"/>
      <c r="T18" s="88" t="s">
        <v>305</v>
      </c>
      <c r="U18" s="71"/>
      <c r="V18" s="71"/>
      <c r="W18" s="71"/>
      <c r="X18" s="71"/>
      <c r="Y18" s="71"/>
      <c r="Z18" s="71"/>
      <c r="AA18" s="71"/>
      <c r="AB18" s="71"/>
      <c r="AC18" s="83"/>
      <c r="AD18" s="83"/>
      <c r="AE18" s="83"/>
      <c r="AF18" s="91"/>
      <c r="AG18" s="91"/>
      <c r="AH18" s="91"/>
      <c r="AI18" s="91"/>
      <c r="AJ18" s="91"/>
      <c r="AK18" s="83"/>
      <c r="AL18" s="83"/>
    </row>
    <row r="19" spans="1:38" x14ac:dyDescent="0.2">
      <c r="A19" s="72"/>
      <c r="B19" s="87"/>
      <c r="C19" s="186"/>
      <c r="D19" s="187"/>
      <c r="E19" s="188"/>
      <c r="F19" s="188"/>
      <c r="G19" s="87"/>
      <c r="H19" s="87"/>
      <c r="I19" s="87"/>
      <c r="J19" s="87"/>
      <c r="K19" s="87"/>
      <c r="L19" s="87"/>
      <c r="M19" s="87"/>
      <c r="N19" s="87"/>
      <c r="O19" s="87"/>
      <c r="P19" s="87"/>
      <c r="S19" s="106"/>
      <c r="T19" s="92" t="s">
        <v>287</v>
      </c>
      <c r="U19" s="106"/>
      <c r="V19" s="106"/>
      <c r="W19" s="106"/>
      <c r="X19" s="106"/>
      <c r="Y19" s="106"/>
      <c r="Z19" s="106"/>
      <c r="AA19" s="106"/>
      <c r="AB19" s="106"/>
      <c r="AC19" s="83"/>
      <c r="AD19" s="83"/>
      <c r="AE19" s="107"/>
      <c r="AF19" s="107"/>
      <c r="AG19" s="107"/>
      <c r="AH19" s="107"/>
      <c r="AI19" s="107"/>
      <c r="AJ19" s="107"/>
      <c r="AK19" s="83"/>
      <c r="AL19" s="83"/>
    </row>
    <row r="20" spans="1:38" x14ac:dyDescent="0.2">
      <c r="A20" s="72"/>
      <c r="B20" s="87"/>
      <c r="C20" s="186"/>
      <c r="D20" s="187"/>
      <c r="E20" s="188"/>
      <c r="F20" s="188"/>
      <c r="G20" s="87"/>
      <c r="H20" s="87"/>
      <c r="I20" s="87"/>
      <c r="J20" s="87"/>
      <c r="K20" s="87"/>
      <c r="L20" s="87"/>
      <c r="M20" s="87"/>
      <c r="N20" s="87"/>
      <c r="O20" s="87"/>
      <c r="P20" s="87"/>
      <c r="S20" s="106"/>
      <c r="T20" s="96" t="s">
        <v>307</v>
      </c>
      <c r="AA20" s="106"/>
      <c r="AB20" s="106"/>
      <c r="AC20" s="83"/>
      <c r="AD20" s="83"/>
      <c r="AE20" s="83"/>
      <c r="AF20" s="91"/>
      <c r="AG20" s="91"/>
      <c r="AH20" s="91"/>
      <c r="AI20" s="91"/>
      <c r="AJ20" s="91"/>
      <c r="AK20" s="83"/>
      <c r="AL20" s="83"/>
    </row>
    <row r="21" spans="1:38" x14ac:dyDescent="0.2">
      <c r="A21" s="72"/>
      <c r="B21" s="87"/>
      <c r="C21" s="186"/>
      <c r="D21" s="187"/>
      <c r="E21" s="188"/>
      <c r="F21" s="188"/>
      <c r="G21" s="87"/>
      <c r="H21" s="87"/>
      <c r="I21" s="87"/>
      <c r="J21" s="87"/>
      <c r="K21" s="87"/>
      <c r="L21" s="87"/>
      <c r="M21" s="87"/>
      <c r="N21" s="87"/>
      <c r="O21" s="87"/>
      <c r="P21" s="87"/>
      <c r="Q21" s="108"/>
      <c r="R21" s="108"/>
      <c r="S21" s="106"/>
      <c r="AA21" s="106"/>
      <c r="AB21" s="106"/>
      <c r="AC21" s="83"/>
      <c r="AD21" s="83"/>
      <c r="AE21" s="83"/>
      <c r="AF21" s="91"/>
      <c r="AG21" s="91"/>
      <c r="AH21" s="91"/>
      <c r="AI21" s="91"/>
      <c r="AJ21" s="91"/>
      <c r="AK21" s="83"/>
      <c r="AL21" s="83"/>
    </row>
    <row r="22" spans="1:38" x14ac:dyDescent="0.2">
      <c r="A22" s="72"/>
      <c r="B22" s="87"/>
      <c r="C22" s="186"/>
      <c r="D22" s="187"/>
      <c r="E22" s="188"/>
      <c r="F22" s="188"/>
      <c r="G22" s="87"/>
      <c r="H22" s="87"/>
      <c r="I22" s="87"/>
      <c r="J22" s="87"/>
      <c r="K22" s="87"/>
      <c r="L22" s="87"/>
      <c r="M22" s="87"/>
      <c r="N22" s="87"/>
      <c r="O22" s="87"/>
      <c r="P22" s="87"/>
      <c r="Q22" s="108"/>
      <c r="R22" s="108"/>
      <c r="S22" s="109"/>
      <c r="AA22" s="106"/>
      <c r="AB22" s="106"/>
      <c r="AC22" s="83"/>
      <c r="AD22" s="104"/>
      <c r="AE22" s="104"/>
      <c r="AF22" s="104"/>
      <c r="AG22" s="104"/>
      <c r="AH22" s="104"/>
      <c r="AI22" s="104"/>
      <c r="AJ22" s="91"/>
      <c r="AK22" s="83"/>
      <c r="AL22" s="83"/>
    </row>
    <row r="23" spans="1:38" x14ac:dyDescent="0.2">
      <c r="A23" s="72"/>
      <c r="B23" s="87"/>
      <c r="C23" s="186"/>
      <c r="D23" s="187"/>
      <c r="E23" s="188"/>
      <c r="F23" s="188"/>
      <c r="G23" s="87"/>
      <c r="H23" s="87"/>
      <c r="I23" s="87"/>
      <c r="J23" s="87"/>
      <c r="K23" s="87"/>
      <c r="L23" s="87"/>
      <c r="M23" s="87"/>
      <c r="N23" s="87"/>
      <c r="O23" s="87"/>
      <c r="P23" s="87"/>
      <c r="Q23" s="108"/>
      <c r="R23" s="108"/>
      <c r="AC23" s="83"/>
      <c r="AD23" s="110"/>
      <c r="AE23" s="110"/>
      <c r="AF23" s="110"/>
      <c r="AG23" s="110"/>
      <c r="AH23" s="110"/>
      <c r="AI23" s="110"/>
      <c r="AJ23" s="91"/>
      <c r="AK23" s="83"/>
      <c r="AL23" s="83"/>
    </row>
    <row r="24" spans="1:38" x14ac:dyDescent="0.2">
      <c r="A24" s="72"/>
      <c r="B24" s="87"/>
      <c r="C24" s="186"/>
      <c r="D24" s="187"/>
      <c r="E24" s="188"/>
      <c r="F24" s="188"/>
      <c r="G24" s="87"/>
      <c r="H24" s="87"/>
      <c r="I24" s="87"/>
      <c r="J24" s="87"/>
      <c r="K24" s="87"/>
      <c r="L24" s="87"/>
      <c r="M24" s="87"/>
      <c r="N24" s="87"/>
      <c r="O24" s="87"/>
      <c r="P24" s="87"/>
      <c r="Q24" s="108"/>
      <c r="R24" s="108"/>
      <c r="AC24" s="83"/>
      <c r="AD24" s="104"/>
      <c r="AE24" s="104"/>
      <c r="AF24" s="104"/>
      <c r="AG24" s="104"/>
      <c r="AH24" s="104"/>
      <c r="AI24" s="104"/>
      <c r="AJ24" s="91"/>
      <c r="AK24" s="83"/>
      <c r="AL24" s="83"/>
    </row>
    <row r="25" spans="1:38" x14ac:dyDescent="0.2">
      <c r="A25" s="72"/>
      <c r="B25" s="87"/>
      <c r="C25" s="186"/>
      <c r="D25" s="187"/>
      <c r="E25" s="188"/>
      <c r="F25" s="188"/>
      <c r="G25" s="87"/>
      <c r="H25" s="87"/>
      <c r="I25" s="87"/>
      <c r="J25" s="87"/>
      <c r="K25" s="87"/>
      <c r="L25" s="87"/>
      <c r="M25" s="87"/>
      <c r="N25" s="87"/>
      <c r="O25" s="87"/>
      <c r="P25" s="87"/>
      <c r="AC25" s="83"/>
      <c r="AD25" s="104"/>
      <c r="AE25" s="104"/>
      <c r="AF25" s="104"/>
      <c r="AG25" s="104"/>
      <c r="AH25" s="104"/>
      <c r="AI25" s="104"/>
      <c r="AJ25" s="91"/>
      <c r="AK25" s="83"/>
      <c r="AL25" s="83"/>
    </row>
    <row r="26" spans="1:38" x14ac:dyDescent="0.25">
      <c r="A26" s="72"/>
      <c r="B26" s="87"/>
      <c r="C26" s="186"/>
      <c r="D26" s="187"/>
      <c r="E26" s="188"/>
      <c r="F26" s="188"/>
      <c r="G26" s="87"/>
      <c r="H26" s="87"/>
      <c r="I26" s="87"/>
      <c r="J26" s="87"/>
      <c r="K26" s="87"/>
      <c r="L26" s="87"/>
      <c r="M26" s="87"/>
      <c r="N26" s="87"/>
      <c r="O26" s="87"/>
      <c r="P26" s="87"/>
    </row>
    <row r="27" spans="1:38" x14ac:dyDescent="0.25">
      <c r="A27" s="72"/>
      <c r="B27" s="87"/>
      <c r="C27" s="186"/>
      <c r="D27" s="187"/>
      <c r="E27" s="188"/>
      <c r="F27" s="188"/>
      <c r="G27" s="87"/>
      <c r="H27" s="87"/>
      <c r="I27" s="87"/>
      <c r="J27" s="87"/>
      <c r="K27" s="87"/>
      <c r="L27" s="87"/>
      <c r="M27" s="87"/>
      <c r="N27" s="87"/>
      <c r="O27" s="87"/>
      <c r="P27" s="87"/>
    </row>
    <row r="28" spans="1:38" x14ac:dyDescent="0.25">
      <c r="A28" s="72"/>
      <c r="B28" s="87"/>
      <c r="C28" s="186"/>
      <c r="D28" s="187"/>
      <c r="E28" s="188"/>
      <c r="F28" s="188"/>
      <c r="G28" s="87"/>
      <c r="H28" s="87"/>
      <c r="I28" s="87"/>
      <c r="J28" s="87"/>
      <c r="K28" s="87"/>
      <c r="L28" s="87"/>
      <c r="M28" s="87"/>
      <c r="N28" s="87"/>
      <c r="O28" s="87"/>
      <c r="P28" s="87"/>
    </row>
    <row r="29" spans="1:38" x14ac:dyDescent="0.25">
      <c r="A29" s="72"/>
      <c r="B29" s="87"/>
      <c r="C29" s="186"/>
      <c r="D29" s="187"/>
      <c r="E29" s="188"/>
      <c r="F29" s="188"/>
      <c r="G29" s="87"/>
      <c r="H29" s="87"/>
      <c r="I29" s="87"/>
      <c r="J29" s="87"/>
      <c r="K29" s="87"/>
      <c r="L29" s="87"/>
      <c r="M29" s="87"/>
      <c r="N29" s="87"/>
      <c r="O29" s="87"/>
      <c r="P29" s="87"/>
    </row>
    <row r="30" spans="1:38" ht="14.45" customHeight="1" x14ac:dyDescent="0.25">
      <c r="B30" s="67"/>
      <c r="D30" s="67"/>
      <c r="G30" s="67"/>
      <c r="H30" s="67"/>
      <c r="I30" s="67"/>
      <c r="J30" s="67"/>
      <c r="K30" s="67"/>
      <c r="L30" s="67"/>
      <c r="M30" s="67"/>
      <c r="N30" s="67"/>
      <c r="O30" s="67"/>
      <c r="P30" s="67"/>
      <c r="AA30" s="72"/>
      <c r="AB30" s="72"/>
      <c r="AC30" s="72"/>
      <c r="AD30" s="72"/>
      <c r="AE30" s="72"/>
      <c r="AF30" s="67"/>
      <c r="AG30" s="67"/>
      <c r="AH30" s="67"/>
      <c r="AI30" s="67"/>
      <c r="AJ30" s="67"/>
    </row>
    <row r="31" spans="1:38" ht="39" customHeight="1" x14ac:dyDescent="0.25">
      <c r="B31" s="67"/>
      <c r="D31" s="67"/>
      <c r="G31" s="67"/>
      <c r="H31" s="67"/>
      <c r="I31" s="67"/>
      <c r="J31" s="67"/>
      <c r="K31" s="67"/>
      <c r="L31" s="67"/>
      <c r="M31" s="67"/>
      <c r="N31" s="67"/>
      <c r="O31" s="67"/>
      <c r="P31" s="67"/>
      <c r="AA31" s="72"/>
      <c r="AB31" s="72"/>
      <c r="AC31" s="72"/>
      <c r="AD31" s="72"/>
      <c r="AE31" s="72"/>
      <c r="AF31" s="67"/>
      <c r="AG31" s="67"/>
      <c r="AH31" s="67"/>
      <c r="AI31" s="67"/>
      <c r="AJ31" s="67"/>
    </row>
    <row r="32" spans="1:38" ht="19.5" customHeight="1" x14ac:dyDescent="0.25">
      <c r="B32" s="67"/>
      <c r="D32" s="67"/>
      <c r="G32" s="67"/>
      <c r="H32" s="67"/>
      <c r="I32" s="67"/>
      <c r="J32" s="67"/>
      <c r="K32" s="67"/>
      <c r="L32" s="67"/>
      <c r="M32" s="67"/>
      <c r="N32" s="67"/>
      <c r="O32" s="67"/>
      <c r="P32" s="67"/>
      <c r="AA32" s="72"/>
      <c r="AB32" s="72"/>
      <c r="AC32" s="72"/>
      <c r="AD32" s="72"/>
      <c r="AE32" s="72"/>
      <c r="AF32" s="67"/>
      <c r="AG32" s="67"/>
      <c r="AH32" s="67"/>
      <c r="AI32" s="67"/>
      <c r="AJ32" s="67"/>
    </row>
    <row r="33" spans="2:36" ht="19.5" customHeight="1" x14ac:dyDescent="0.25">
      <c r="B33" s="67"/>
      <c r="D33" s="67"/>
      <c r="G33" s="67"/>
      <c r="H33" s="67"/>
      <c r="I33" s="67"/>
      <c r="J33" s="67"/>
      <c r="K33" s="67"/>
      <c r="L33" s="67"/>
      <c r="M33" s="67"/>
      <c r="N33" s="67"/>
      <c r="O33" s="67"/>
      <c r="P33" s="67"/>
      <c r="AA33" s="72"/>
      <c r="AB33" s="72"/>
      <c r="AC33" s="72"/>
      <c r="AD33" s="72"/>
      <c r="AE33" s="72"/>
      <c r="AF33" s="67"/>
      <c r="AG33" s="67"/>
      <c r="AH33" s="67"/>
      <c r="AI33" s="67"/>
      <c r="AJ33" s="67"/>
    </row>
    <row r="34" spans="2:36" ht="19.5" customHeight="1" x14ac:dyDescent="0.25">
      <c r="B34" s="67"/>
      <c r="D34" s="67"/>
      <c r="G34" s="67"/>
      <c r="H34" s="67"/>
      <c r="I34" s="67"/>
      <c r="J34" s="67"/>
      <c r="K34" s="67"/>
      <c r="L34" s="67"/>
      <c r="M34" s="67"/>
      <c r="N34" s="67"/>
      <c r="O34" s="67"/>
      <c r="P34" s="67"/>
      <c r="AA34" s="72"/>
      <c r="AB34" s="72"/>
      <c r="AC34" s="72"/>
      <c r="AD34" s="72"/>
      <c r="AE34" s="72"/>
      <c r="AF34" s="67"/>
      <c r="AG34" s="67"/>
      <c r="AH34" s="67"/>
      <c r="AI34" s="67"/>
      <c r="AJ34" s="67"/>
    </row>
    <row r="35" spans="2:36" ht="19.5" customHeight="1" x14ac:dyDescent="0.25">
      <c r="B35" s="67"/>
      <c r="D35" s="67"/>
      <c r="G35" s="67"/>
      <c r="H35" s="67"/>
      <c r="I35" s="67"/>
      <c r="J35" s="67"/>
      <c r="K35" s="67"/>
      <c r="L35" s="67"/>
      <c r="M35" s="67"/>
      <c r="N35" s="67"/>
      <c r="O35" s="67"/>
      <c r="P35" s="67"/>
      <c r="AA35" s="72"/>
      <c r="AB35" s="72"/>
      <c r="AC35" s="72"/>
      <c r="AD35" s="72"/>
      <c r="AE35" s="72"/>
      <c r="AF35" s="67"/>
      <c r="AG35" s="67"/>
      <c r="AH35" s="67"/>
      <c r="AI35" s="67"/>
      <c r="AJ35" s="67"/>
    </row>
    <row r="36" spans="2:36" ht="19.5" customHeight="1" x14ac:dyDescent="0.25">
      <c r="B36" s="67"/>
      <c r="D36" s="67"/>
      <c r="G36" s="67"/>
      <c r="H36" s="67"/>
      <c r="I36" s="67"/>
      <c r="J36" s="67"/>
      <c r="K36" s="67"/>
      <c r="L36" s="67"/>
      <c r="M36" s="67"/>
      <c r="N36" s="67"/>
      <c r="O36" s="67"/>
      <c r="P36" s="67"/>
      <c r="AA36" s="72"/>
      <c r="AB36" s="72"/>
      <c r="AC36" s="72"/>
      <c r="AD36" s="72"/>
      <c r="AE36" s="72"/>
      <c r="AF36" s="67"/>
      <c r="AG36" s="67"/>
      <c r="AH36" s="67"/>
      <c r="AI36" s="67"/>
      <c r="AJ36" s="67"/>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31" priority="1" operator="equal">
      <formula>$S$14</formula>
    </cfRule>
    <cfRule type="cellIs" dxfId="30" priority="2" operator="equal">
      <formula>$S$13</formula>
    </cfRule>
    <cfRule type="cellIs" dxfId="29" priority="3" operator="equal">
      <formula>$S$12</formula>
    </cfRule>
    <cfRule type="cellIs" dxfId="28" priority="4" operator="equal">
      <formula>$S$11</formula>
    </cfRule>
    <cfRule type="cellIs" dxfId="27" priority="5" operator="equal">
      <formula>$S$10</formula>
    </cfRule>
  </conditionalFormatting>
  <conditionalFormatting sqref="F15:F29">
    <cfRule type="cellIs" dxfId="26" priority="6" operator="equal">
      <formula>$T$9</formula>
    </cfRule>
    <cfRule type="cellIs" dxfId="25" priority="7" operator="equal">
      <formula>$U$9</formula>
    </cfRule>
    <cfRule type="cellIs" dxfId="24" priority="8" operator="equal">
      <formula>$V$9</formula>
    </cfRule>
    <cfRule type="cellIs" dxfId="23" priority="9" operator="equal">
      <formula>$W$9</formula>
    </cfRule>
    <cfRule type="cellIs" dxfId="22" priority="10" operator="equal">
      <formula>$X$9</formula>
    </cfRule>
  </conditionalFormatting>
  <conditionalFormatting sqref="G15:G29">
    <cfRule type="cellIs" dxfId="21" priority="16" operator="equal">
      <formula>$T$17</formula>
    </cfRule>
    <cfRule type="cellIs" dxfId="20" priority="17" operator="equal">
      <formula>$T$18</formula>
    </cfRule>
    <cfRule type="cellIs" dxfId="19" priority="18" operator="equal">
      <formula>$T$19</formula>
    </cfRule>
    <cfRule type="cellIs" dxfId="18"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JT37"/>
  <sheetViews>
    <sheetView showGridLines="0" zoomScale="86" zoomScaleNormal="86" workbookViewId="0">
      <pane xSplit="1" ySplit="8" topLeftCell="B9" activePane="bottomRight" state="frozen"/>
      <selection pane="topRight" activeCell="B1" sqref="B1"/>
      <selection pane="bottomLeft" activeCell="A7" sqref="A7"/>
      <selection pane="bottomRight" activeCell="I9" sqref="I9:I10"/>
    </sheetView>
  </sheetViews>
  <sheetFormatPr baseColWidth="10" defaultColWidth="0" defaultRowHeight="12.75" x14ac:dyDescent="0.25"/>
  <cols>
    <col min="1" max="1" width="11.42578125" style="67" customWidth="1"/>
    <col min="2" max="2" width="71.140625" style="72" customWidth="1"/>
    <col min="3" max="4" width="14.140625" style="72" customWidth="1"/>
    <col min="5" max="5" width="16.42578125" style="117" customWidth="1"/>
    <col min="6" max="6" width="16.85546875" style="117" customWidth="1"/>
    <col min="7" max="7" width="12.42578125" style="72" customWidth="1"/>
    <col min="8" max="8" width="15.42578125" style="72" customWidth="1"/>
    <col min="9" max="9" width="13" style="72" customWidth="1"/>
    <col min="10" max="10" width="16.42578125" style="117" customWidth="1"/>
    <col min="11" max="11" width="10.140625" style="117" customWidth="1"/>
    <col min="12" max="12" width="12.42578125" style="72" customWidth="1"/>
    <col min="13" max="13" width="16.85546875" style="72" customWidth="1"/>
    <col min="14" max="14" width="15.42578125" style="72" customWidth="1"/>
    <col min="15" max="16" width="16.42578125" style="72" customWidth="1"/>
    <col min="17" max="17" width="48.5703125" style="72" customWidth="1"/>
    <col min="18" max="18" width="20.85546875" style="72" customWidth="1"/>
    <col min="19" max="19" width="9.42578125" style="123" customWidth="1"/>
    <col min="20" max="20" width="13.42578125" style="123" customWidth="1"/>
    <col min="21" max="23" width="20.42578125" style="72" customWidth="1"/>
    <col min="24" max="25" width="30.42578125" style="72" customWidth="1"/>
    <col min="26" max="26" width="18" style="72" customWidth="1"/>
    <col min="27" max="28" width="15.42578125" style="72" customWidth="1"/>
    <col min="29" max="29" width="4.85546875" style="67" customWidth="1"/>
    <col min="30" max="30" width="5.42578125" style="67" bestFit="1" customWidth="1"/>
    <col min="31" max="32" width="14" style="67" customWidth="1"/>
    <col min="33" max="33" width="18.42578125" style="67" customWidth="1"/>
    <col min="34" max="34" width="19.42578125" style="67" customWidth="1"/>
    <col min="35" max="35" width="14" style="67" customWidth="1"/>
    <col min="36" max="36" width="17" style="67" bestFit="1" customWidth="1"/>
    <col min="37" max="37" width="11.42578125" style="67" customWidth="1"/>
    <col min="38" max="41" width="11.42578125" style="67" hidden="1" customWidth="1"/>
    <col min="42" max="42" width="5.42578125" style="67" hidden="1" customWidth="1"/>
    <col min="43" max="43" width="26.85546875" style="67" hidden="1" customWidth="1"/>
    <col min="44" max="48" width="22.85546875" style="72" hidden="1" customWidth="1"/>
    <col min="49" max="49" width="23.42578125" style="67" hidden="1" customWidth="1"/>
    <col min="50" max="277" width="11.42578125" style="67" hidden="1" customWidth="1"/>
    <col min="278" max="278" width="12.42578125" style="67" hidden="1" customWidth="1"/>
    <col min="279" max="279" width="47" style="67" hidden="1" customWidth="1"/>
    <col min="280" max="280" width="35" style="67" hidden="1" customWidth="1"/>
    <col min="281" max="16384" width="14.42578125" style="67" hidden="1"/>
  </cols>
  <sheetData>
    <row r="1" spans="1:50" s="55" customFormat="1" ht="36" customHeight="1" x14ac:dyDescent="0.2">
      <c r="A1" s="476"/>
      <c r="B1" s="482" t="str">
        <f>+'2 CONTEXTO E IDENTIFICACIÓN'!A1</f>
        <v>MAPA DE RIESGOS</v>
      </c>
      <c r="C1" s="38"/>
      <c r="D1" s="111"/>
      <c r="E1" s="112"/>
      <c r="F1" s="216" t="str">
        <f>+'2 CONTEXTO E IDENTIFICACIÓN'!$I$4</f>
        <v>Elaboración o Actualización:</v>
      </c>
      <c r="G1" s="230" t="str">
        <f>'2 CONTEXTO E IDENTIFICACIÓN'!J4</f>
        <v>9 de diciembre de 2025</v>
      </c>
      <c r="H1" s="13"/>
      <c r="I1" s="13"/>
      <c r="U1" s="118"/>
      <c r="V1" s="118"/>
      <c r="AR1" s="56"/>
      <c r="AS1" s="56"/>
      <c r="AT1" s="56"/>
      <c r="AU1" s="56"/>
      <c r="AV1" s="56"/>
    </row>
    <row r="2" spans="1:50" s="55" customFormat="1" ht="36" customHeight="1" x14ac:dyDescent="0.2">
      <c r="A2" s="476"/>
      <c r="B2" s="482"/>
      <c r="C2" s="38" t="str">
        <f>+'2 CONTEXTO E IDENTIFICACIÓN'!A2</f>
        <v>VERSIÓN:</v>
      </c>
      <c r="D2" s="111">
        <f>'2 CONTEXTO E IDENTIFICACIÓN'!B2</f>
        <v>1</v>
      </c>
      <c r="E2" s="112"/>
      <c r="F2" s="219" t="str">
        <f>+'2 CONTEXTO E IDENTIFICACIÓN'!$E$5</f>
        <v>Vigencia:  2026</v>
      </c>
      <c r="G2" s="217" t="str">
        <f>'2 CONTEXTO E IDENTIFICACIÓN'!G5</f>
        <v>1 de enero de 2026</v>
      </c>
      <c r="H2" s="218" t="s">
        <v>99</v>
      </c>
      <c r="I2" s="215" t="str">
        <f>'2 CONTEXTO E IDENTIFICACIÓN'!J5</f>
        <v>31 de diciembre de 2026</v>
      </c>
      <c r="J2" s="112"/>
      <c r="K2" s="112"/>
      <c r="L2" s="57"/>
      <c r="N2" s="57"/>
      <c r="O2" s="57"/>
      <c r="P2" s="57"/>
      <c r="Q2" s="57"/>
      <c r="R2" s="57"/>
      <c r="S2" s="119"/>
      <c r="T2" s="119"/>
      <c r="U2" s="57"/>
      <c r="V2" s="57"/>
      <c r="W2" s="57"/>
      <c r="X2" s="57"/>
      <c r="Y2" s="57"/>
      <c r="Z2" s="57"/>
      <c r="AA2" s="57"/>
      <c r="AB2" s="57"/>
      <c r="AR2" s="56"/>
      <c r="AS2" s="56"/>
      <c r="AT2" s="56"/>
      <c r="AU2" s="56"/>
      <c r="AV2" s="56"/>
    </row>
    <row r="3" spans="1:50" s="55" customFormat="1" x14ac:dyDescent="0.2">
      <c r="A3" s="59"/>
      <c r="B3" s="57"/>
      <c r="C3" s="220"/>
      <c r="D3" s="220"/>
      <c r="E3" s="112"/>
      <c r="F3" s="112"/>
      <c r="G3" s="57"/>
      <c r="J3" s="112"/>
      <c r="K3" s="112"/>
      <c r="L3" s="57"/>
      <c r="N3" s="57"/>
      <c r="O3" s="57"/>
      <c r="P3" s="57"/>
      <c r="Q3" s="57"/>
      <c r="R3" s="57"/>
      <c r="S3" s="119"/>
      <c r="T3" s="119"/>
      <c r="U3" s="57"/>
      <c r="V3" s="57"/>
      <c r="W3" s="57"/>
      <c r="X3" s="57"/>
      <c r="Y3" s="57"/>
      <c r="Z3" s="57"/>
      <c r="AA3" s="57"/>
      <c r="AB3" s="57"/>
      <c r="AR3" s="56"/>
      <c r="AS3" s="56"/>
      <c r="AT3" s="56"/>
      <c r="AU3" s="56"/>
      <c r="AV3" s="56"/>
    </row>
    <row r="4" spans="1:50" s="55" customFormat="1" ht="15.75" thickBot="1" x14ac:dyDescent="0.25">
      <c r="A4" s="12" t="s">
        <v>95</v>
      </c>
      <c r="B4" s="462" t="str">
        <f>'2 CONTEXTO E IDENTIFICACIÓN'!B4</f>
        <v>SUPERSOLIDARIA</v>
      </c>
      <c r="C4" s="462"/>
      <c r="D4" s="462"/>
      <c r="E4" s="53"/>
      <c r="F4" s="53"/>
      <c r="G4" s="53"/>
      <c r="H4" s="53"/>
      <c r="I4" s="53"/>
      <c r="J4" s="53"/>
      <c r="K4" s="113"/>
      <c r="S4" s="118"/>
      <c r="T4" s="118"/>
      <c r="AR4" s="56"/>
      <c r="AS4" s="56"/>
      <c r="AT4" s="56"/>
      <c r="AU4" s="56"/>
      <c r="AV4" s="56"/>
    </row>
    <row r="5" spans="1:50" s="55" customFormat="1" ht="30" x14ac:dyDescent="0.2">
      <c r="A5" s="12" t="s">
        <v>96</v>
      </c>
      <c r="B5" s="462" t="str">
        <f>'2 CONTEXTO E IDENTIFICACIÓN'!F4</f>
        <v>GEGI</v>
      </c>
      <c r="C5" s="463"/>
      <c r="D5" s="463"/>
      <c r="E5" s="40"/>
      <c r="F5" s="113"/>
      <c r="H5" s="57"/>
      <c r="I5" s="57"/>
      <c r="J5" s="40"/>
      <c r="K5" s="113"/>
      <c r="S5" s="118"/>
      <c r="T5" s="118"/>
      <c r="AD5" s="60"/>
      <c r="AE5" s="61"/>
      <c r="AF5" s="558" t="s">
        <v>165</v>
      </c>
      <c r="AG5" s="559"/>
      <c r="AH5" s="559"/>
      <c r="AI5" s="559"/>
      <c r="AJ5" s="560"/>
      <c r="AR5" s="56"/>
      <c r="AS5" s="56"/>
      <c r="AT5" s="56"/>
      <c r="AU5" s="56"/>
      <c r="AV5" s="56"/>
    </row>
    <row r="6" spans="1:50" s="55" customFormat="1" ht="5.45" customHeight="1" x14ac:dyDescent="0.2">
      <c r="A6" s="223"/>
      <c r="B6" s="222"/>
      <c r="C6" s="222"/>
      <c r="D6" s="57"/>
      <c r="E6" s="40"/>
      <c r="F6" s="113"/>
      <c r="H6" s="57"/>
      <c r="I6" s="57"/>
      <c r="J6" s="40"/>
      <c r="K6" s="113"/>
      <c r="S6" s="118"/>
      <c r="T6" s="118"/>
      <c r="AD6" s="236"/>
      <c r="AF6" s="237"/>
      <c r="AG6" s="238"/>
      <c r="AH6" s="238"/>
      <c r="AI6" s="238"/>
      <c r="AJ6" s="239"/>
      <c r="AR6" s="56"/>
      <c r="AS6" s="56"/>
      <c r="AT6" s="56"/>
      <c r="AU6" s="56"/>
      <c r="AV6" s="56"/>
    </row>
    <row r="7" spans="1:50" ht="14.45" customHeight="1" x14ac:dyDescent="0.25">
      <c r="A7" s="114"/>
      <c r="B7" s="114"/>
      <c r="C7" s="114"/>
      <c r="D7" s="114"/>
      <c r="E7" s="477" t="s">
        <v>302</v>
      </c>
      <c r="F7" s="477"/>
      <c r="G7" s="477"/>
      <c r="H7" s="64"/>
      <c r="I7" s="114"/>
      <c r="J7" s="477" t="s">
        <v>330</v>
      </c>
      <c r="K7" s="477"/>
      <c r="L7" s="477"/>
      <c r="M7" s="64"/>
      <c r="N7" s="64"/>
      <c r="O7" s="64"/>
      <c r="P7" s="64"/>
      <c r="Q7" s="477" t="s">
        <v>333</v>
      </c>
      <c r="R7" s="477"/>
      <c r="S7" s="477"/>
      <c r="T7" s="477"/>
      <c r="U7" s="477" t="s">
        <v>77</v>
      </c>
      <c r="V7" s="477"/>
      <c r="W7" s="477"/>
      <c r="X7" s="64"/>
      <c r="Y7" s="64"/>
      <c r="Z7" s="64"/>
      <c r="AA7" s="64"/>
      <c r="AB7" s="64"/>
      <c r="AD7" s="68"/>
      <c r="AF7" s="69">
        <v>0.2</v>
      </c>
      <c r="AG7" s="69">
        <v>0.4</v>
      </c>
      <c r="AH7" s="69">
        <v>0.6</v>
      </c>
      <c r="AI7" s="69">
        <v>0.8</v>
      </c>
      <c r="AJ7" s="70">
        <v>1</v>
      </c>
      <c r="AK7" s="71"/>
      <c r="AL7" s="71"/>
      <c r="AM7" s="71"/>
      <c r="AN7" s="71"/>
      <c r="AO7" s="71"/>
      <c r="AP7" s="71"/>
      <c r="AQ7" s="71"/>
    </row>
    <row r="8" spans="1:50" ht="51" x14ac:dyDescent="0.2">
      <c r="A8" s="75" t="s">
        <v>303</v>
      </c>
      <c r="B8" s="75" t="s">
        <v>304</v>
      </c>
      <c r="C8" s="75" t="s">
        <v>334</v>
      </c>
      <c r="D8" s="75" t="s">
        <v>335</v>
      </c>
      <c r="E8" s="75" t="s">
        <v>260</v>
      </c>
      <c r="F8" s="75" t="s">
        <v>261</v>
      </c>
      <c r="G8" s="76" t="s">
        <v>69</v>
      </c>
      <c r="H8" s="75" t="s">
        <v>336</v>
      </c>
      <c r="I8" s="75" t="s">
        <v>337</v>
      </c>
      <c r="J8" s="75" t="s">
        <v>260</v>
      </c>
      <c r="K8" s="75" t="s">
        <v>261</v>
      </c>
      <c r="L8" s="75" t="s">
        <v>69</v>
      </c>
      <c r="M8" s="75" t="s">
        <v>73</v>
      </c>
      <c r="N8" s="75" t="s">
        <v>71</v>
      </c>
      <c r="O8" s="75" t="s">
        <v>338</v>
      </c>
      <c r="P8" s="75" t="s">
        <v>339</v>
      </c>
      <c r="Q8" s="75" t="s">
        <v>340</v>
      </c>
      <c r="R8" s="75" t="s">
        <v>341</v>
      </c>
      <c r="S8" s="120" t="s">
        <v>342</v>
      </c>
      <c r="T8" s="120" t="s">
        <v>343</v>
      </c>
      <c r="U8" s="75" t="s">
        <v>344</v>
      </c>
      <c r="V8" s="75" t="s">
        <v>345</v>
      </c>
      <c r="W8" s="75" t="s">
        <v>346</v>
      </c>
      <c r="X8" s="75" t="s">
        <v>347</v>
      </c>
      <c r="Y8" s="75" t="s">
        <v>348</v>
      </c>
      <c r="Z8" s="75" t="s">
        <v>83</v>
      </c>
      <c r="AA8" s="64"/>
      <c r="AB8" s="64"/>
      <c r="AD8" s="68"/>
      <c r="AE8" s="80"/>
      <c r="AF8" s="81" t="s">
        <v>279</v>
      </c>
      <c r="AG8" s="81" t="s">
        <v>283</v>
      </c>
      <c r="AH8" s="81" t="s">
        <v>287</v>
      </c>
      <c r="AI8" s="81" t="s">
        <v>292</v>
      </c>
      <c r="AJ8" s="82" t="s">
        <v>297</v>
      </c>
      <c r="AM8" s="71"/>
      <c r="AN8" s="71"/>
      <c r="AO8" s="83"/>
      <c r="AP8" s="83"/>
      <c r="AQ8" s="83"/>
      <c r="AR8" s="83"/>
      <c r="AS8" s="83"/>
      <c r="AT8" s="83"/>
      <c r="AU8" s="83"/>
      <c r="AV8" s="83"/>
      <c r="AW8" s="83"/>
      <c r="AX8" s="83"/>
    </row>
    <row r="9" spans="1:50" ht="170.25" customHeight="1" x14ac:dyDescent="0.2">
      <c r="A9" s="553" t="str">
        <f>'2 CONTEXTO E IDENTIFICACIÓN'!A9</f>
        <v>GEGI-1</v>
      </c>
      <c r="B9" s="546" t="str">
        <f>+'2 CONTEXTO E IDENTIFICACIÓN'!J9</f>
        <v>Posibilidad de afectación reputacional porpor insatisfacción de los grupos de valor a causa de una orientación inadecuada en la prestación del servicio</v>
      </c>
      <c r="C9" s="551">
        <f>+'3 PROBABIL E IMPACTO INHERENTE'!E9</f>
        <v>0.6</v>
      </c>
      <c r="D9" s="551">
        <f>+'3 PROBABIL E IMPACTO INHERENTE'!M9</f>
        <v>0.4</v>
      </c>
      <c r="E9" s="548" t="str">
        <f>+'4 MAPA CALOR INHERENTE'!C9</f>
        <v>Media</v>
      </c>
      <c r="F9" s="548" t="str">
        <f>+'4 MAPA CALOR INHERENTE'!D9</f>
        <v>Menor</v>
      </c>
      <c r="G9" s="546" t="str">
        <f>+'4 MAPA CALOR INHERENTE'!E9</f>
        <v>Moderado</v>
      </c>
      <c r="H9" s="551">
        <f>+'6 MAPA CALOR RESIDUAL'!C9</f>
        <v>0.6</v>
      </c>
      <c r="I9" s="548">
        <f>+'6 MAPA CALOR RESIDUAL'!D9</f>
        <v>0.4</v>
      </c>
      <c r="J9" s="548" t="str">
        <f>+'6 MAPA CALOR RESIDUAL'!E9</f>
        <v>Media</v>
      </c>
      <c r="K9" s="548" t="str">
        <f>+'6 MAPA CALOR RESIDUAL'!F9</f>
        <v>Menor</v>
      </c>
      <c r="L9" s="546" t="str">
        <f>+'6 MAPA CALOR RESIDUAL'!G9</f>
        <v>Moderado</v>
      </c>
      <c r="M9" s="546" t="str">
        <f t="shared" ref="M9:M30" si="0">+IF($N9="","",IF($N9=$AG$16,$AH$16,IF($N9=$AG$19,$AH$19)))</f>
        <v>Requiere Plan de Acción</v>
      </c>
      <c r="N9" s="546" t="str">
        <f t="shared" ref="N9:N30" si="1">+IF(L9="","",IF(OR(L9=$AF$16,L9=$AF$17,L9=$AF$18),$AG$16,IF(L9=$AF$19,$AG$19)))</f>
        <v>Reducir_mitigar_Transferir_Evitar</v>
      </c>
      <c r="O9" s="549" t="s">
        <v>349</v>
      </c>
      <c r="P9" s="546" t="str">
        <f t="shared" ref="P9:P30" si="2">+IF($M9="","",IF($M9=$AH$19,$AG$19,$O9))</f>
        <v>Reducir_Mitigar</v>
      </c>
      <c r="Q9" s="357" t="s">
        <v>381</v>
      </c>
      <c r="R9" s="208" t="s">
        <v>373</v>
      </c>
      <c r="S9" s="209">
        <v>46023</v>
      </c>
      <c r="T9" s="209">
        <v>46387</v>
      </c>
      <c r="U9" s="208"/>
      <c r="V9" s="208"/>
      <c r="W9" s="208"/>
      <c r="X9" s="208"/>
      <c r="Y9" s="208"/>
      <c r="Z9" s="208"/>
      <c r="AA9" s="87"/>
      <c r="AB9" s="87"/>
      <c r="AC9" s="555" t="s">
        <v>146</v>
      </c>
      <c r="AD9" s="90">
        <v>1</v>
      </c>
      <c r="AE9" s="81" t="s">
        <v>295</v>
      </c>
      <c r="AF9" s="88" t="s">
        <v>305</v>
      </c>
      <c r="AG9" s="88" t="s">
        <v>305</v>
      </c>
      <c r="AH9" s="88" t="s">
        <v>305</v>
      </c>
      <c r="AI9" s="88" t="s">
        <v>305</v>
      </c>
      <c r="AJ9" s="89" t="s">
        <v>306</v>
      </c>
      <c r="AM9" s="71"/>
      <c r="AN9" s="71"/>
      <c r="AO9" s="83"/>
      <c r="AP9" s="83"/>
      <c r="AQ9" s="83"/>
      <c r="AR9" s="91"/>
      <c r="AS9" s="91"/>
      <c r="AT9" s="91"/>
      <c r="AU9" s="91"/>
      <c r="AV9" s="91"/>
      <c r="AW9" s="83"/>
      <c r="AX9" s="83"/>
    </row>
    <row r="10" spans="1:50" ht="138" customHeight="1" x14ac:dyDescent="0.2">
      <c r="A10" s="554"/>
      <c r="B10" s="547"/>
      <c r="C10" s="552"/>
      <c r="D10" s="552"/>
      <c r="E10" s="515"/>
      <c r="F10" s="515"/>
      <c r="G10" s="547"/>
      <c r="H10" s="552"/>
      <c r="I10" s="515"/>
      <c r="J10" s="515"/>
      <c r="K10" s="515"/>
      <c r="L10" s="547"/>
      <c r="M10" s="547"/>
      <c r="N10" s="547"/>
      <c r="O10" s="550"/>
      <c r="P10" s="547"/>
      <c r="Q10" s="357" t="s">
        <v>384</v>
      </c>
      <c r="R10" s="208" t="s">
        <v>373</v>
      </c>
      <c r="S10" s="209">
        <v>46023</v>
      </c>
      <c r="T10" s="209">
        <v>46387</v>
      </c>
      <c r="U10" s="208"/>
      <c r="V10" s="208"/>
      <c r="W10" s="208"/>
      <c r="X10" s="208"/>
      <c r="Y10" s="208"/>
      <c r="Z10" s="208"/>
      <c r="AA10" s="87"/>
      <c r="AB10" s="87"/>
      <c r="AC10" s="556"/>
      <c r="AD10" s="90">
        <v>0.8</v>
      </c>
      <c r="AE10" s="81" t="s">
        <v>290</v>
      </c>
      <c r="AF10" s="92" t="s">
        <v>287</v>
      </c>
      <c r="AG10" s="92" t="s">
        <v>287</v>
      </c>
      <c r="AH10" s="88" t="s">
        <v>305</v>
      </c>
      <c r="AI10" s="88" t="s">
        <v>305</v>
      </c>
      <c r="AJ10" s="89" t="s">
        <v>306</v>
      </c>
      <c r="AM10" s="71"/>
      <c r="AN10" s="71"/>
      <c r="AO10" s="83"/>
      <c r="AP10" s="93"/>
      <c r="AQ10" s="94"/>
      <c r="AR10" s="91"/>
      <c r="AS10" s="91"/>
      <c r="AT10" s="91"/>
      <c r="AU10" s="91"/>
      <c r="AV10" s="91"/>
      <c r="AW10" s="83"/>
      <c r="AX10" s="83"/>
    </row>
    <row r="11" spans="1:50" ht="138.75" customHeight="1" x14ac:dyDescent="0.2">
      <c r="A11" s="553" t="str">
        <f>'2 CONTEXTO E IDENTIFICACIÓN'!A10</f>
        <v>GEGI-2</v>
      </c>
      <c r="B11" s="546" t="str">
        <f>+'2 CONTEXTO E IDENTIFICACIÓN'!J10</f>
        <v>Posibilidad de afectación reputacional porinsatisfacción de los grupos de valor y/o sanciones de entes de control a causa de incumplimiento de los términos de ley para la gestión de solicitudes.</v>
      </c>
      <c r="C11" s="551">
        <f>+'3 PROBABIL E IMPACTO INHERENTE'!E10</f>
        <v>0.6</v>
      </c>
      <c r="D11" s="551">
        <f>+'3 PROBABIL E IMPACTO INHERENTE'!M10</f>
        <v>1</v>
      </c>
      <c r="E11" s="548" t="str">
        <f>+'4 MAPA CALOR INHERENTE'!C10</f>
        <v>Media</v>
      </c>
      <c r="F11" s="548" t="str">
        <f>+'4 MAPA CALOR INHERENTE'!D10</f>
        <v>Catastrófico</v>
      </c>
      <c r="G11" s="546" t="str">
        <f>+'4 MAPA CALOR INHERENTE'!E10</f>
        <v>Extremo</v>
      </c>
      <c r="H11" s="551">
        <f>+'5 VALORACIÓN DEL CONTROL'!T19</f>
        <v>0.6</v>
      </c>
      <c r="I11" s="548">
        <f>+'5 VALORACIÓN DEL CONTROL'!U19</f>
        <v>1</v>
      </c>
      <c r="J11" s="548" t="str">
        <f t="shared" ref="J11:J30" si="3">+IF(H11=0,"",IF(H11&lt;=$AD$13,$AE$13,IF(H11&lt;=$AD$12,$AE$12,IF(H11&lt;=$AD$11,$AE$11,IF(H11&lt;=$AD$10,$AE$10,IF(H11&lt;=$AD$9,$AE$9,""))))))</f>
        <v>Media</v>
      </c>
      <c r="K11" s="548" t="str">
        <f t="shared" ref="K11:K30" si="4">+IF(I11=0,"",IF(I11&lt;=$AF$7,$AF$8,IF(I11&lt;=$AG$7,$AG$8,IF(I11&lt;=$AH$7,$AH$8,IF(I11&lt;=$AI$7,$AI$8,IF(I11&lt;=$AJ$7,$AJ$8,""))))))</f>
        <v>Catastrófico</v>
      </c>
      <c r="L11" s="546"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Extremo</v>
      </c>
      <c r="M11" s="546" t="str">
        <f t="shared" si="0"/>
        <v>Requiere Plan de Acción</v>
      </c>
      <c r="N11" s="546" t="str">
        <f t="shared" si="1"/>
        <v>Reducir_mitigar_Transferir_Evitar</v>
      </c>
      <c r="O11" s="549" t="s">
        <v>349</v>
      </c>
      <c r="P11" s="546" t="str">
        <f t="shared" si="2"/>
        <v>Reducir_Mitigar</v>
      </c>
      <c r="Q11" s="357" t="s">
        <v>382</v>
      </c>
      <c r="R11" s="208" t="s">
        <v>373</v>
      </c>
      <c r="S11" s="209">
        <v>46023</v>
      </c>
      <c r="T11" s="209">
        <v>46387</v>
      </c>
      <c r="U11" s="208"/>
      <c r="V11" s="208"/>
      <c r="W11" s="208"/>
      <c r="X11" s="208"/>
      <c r="Y11" s="208"/>
      <c r="Z11" s="208"/>
      <c r="AA11" s="87"/>
      <c r="AB11" s="87"/>
      <c r="AC11" s="556"/>
      <c r="AD11" s="90">
        <v>0.6</v>
      </c>
      <c r="AE11" s="81" t="s">
        <v>285</v>
      </c>
      <c r="AF11" s="92" t="s">
        <v>287</v>
      </c>
      <c r="AG11" s="92" t="s">
        <v>287</v>
      </c>
      <c r="AH11" s="92" t="s">
        <v>287</v>
      </c>
      <c r="AI11" s="88" t="s">
        <v>305</v>
      </c>
      <c r="AJ11" s="89" t="s">
        <v>306</v>
      </c>
      <c r="AM11" s="71"/>
      <c r="AN11" s="71"/>
      <c r="AO11" s="83"/>
      <c r="AP11" s="93"/>
      <c r="AQ11" s="94"/>
      <c r="AR11" s="91"/>
      <c r="AS11" s="91"/>
      <c r="AT11" s="91"/>
      <c r="AU11" s="91"/>
      <c r="AV11" s="95"/>
      <c r="AW11" s="83"/>
      <c r="AX11" s="83"/>
    </row>
    <row r="12" spans="1:50" ht="125.25" customHeight="1" x14ac:dyDescent="0.2">
      <c r="A12" s="554"/>
      <c r="B12" s="547"/>
      <c r="C12" s="552"/>
      <c r="D12" s="552"/>
      <c r="E12" s="515"/>
      <c r="F12" s="515"/>
      <c r="G12" s="547"/>
      <c r="H12" s="552"/>
      <c r="I12" s="515"/>
      <c r="J12" s="515"/>
      <c r="K12" s="515"/>
      <c r="L12" s="547"/>
      <c r="M12" s="547"/>
      <c r="N12" s="547"/>
      <c r="O12" s="550"/>
      <c r="P12" s="547"/>
      <c r="Q12" s="357" t="s">
        <v>383</v>
      </c>
      <c r="R12" s="208" t="s">
        <v>373</v>
      </c>
      <c r="S12" s="209">
        <v>46023</v>
      </c>
      <c r="T12" s="209">
        <v>46387</v>
      </c>
      <c r="U12" s="208"/>
      <c r="V12" s="208"/>
      <c r="W12" s="208"/>
      <c r="X12" s="208"/>
      <c r="Y12" s="208"/>
      <c r="Z12" s="208"/>
      <c r="AA12" s="87"/>
      <c r="AB12" s="87"/>
      <c r="AC12" s="556"/>
      <c r="AD12" s="90">
        <v>0.4</v>
      </c>
      <c r="AE12" s="81" t="s">
        <v>281</v>
      </c>
      <c r="AF12" s="96" t="s">
        <v>307</v>
      </c>
      <c r="AG12" s="92" t="s">
        <v>287</v>
      </c>
      <c r="AH12" s="92" t="s">
        <v>287</v>
      </c>
      <c r="AI12" s="88" t="s">
        <v>305</v>
      </c>
      <c r="AJ12" s="89" t="s">
        <v>306</v>
      </c>
      <c r="AM12" s="71"/>
      <c r="AN12" s="71"/>
      <c r="AO12" s="83"/>
      <c r="AP12" s="93"/>
      <c r="AQ12" s="94"/>
      <c r="AR12" s="91"/>
      <c r="AS12" s="91"/>
      <c r="AT12" s="91"/>
      <c r="AU12" s="95"/>
      <c r="AV12" s="91"/>
      <c r="AW12" s="83"/>
      <c r="AX12" s="83"/>
    </row>
    <row r="13" spans="1:50" ht="110.25" customHeight="1" thickBot="1" x14ac:dyDescent="0.25">
      <c r="A13" s="84" t="str">
        <f>'2 CONTEXTO E IDENTIFICACIÓN'!A11</f>
        <v>GEGI-10</v>
      </c>
      <c r="B13" s="85" t="str">
        <f>+'2 CONTEXTO E IDENTIFICACIÓN'!J11</f>
        <v>Posibilidad de afectación reputacional porfalta de comunicación y credibilidad en la SES a causa de la publicación de información emitida sin la correcta divulgación al interior de la entidad.</v>
      </c>
      <c r="C13" s="121">
        <f>+'3 PROBABIL E IMPACTO INHERENTE'!E11</f>
        <v>0.4</v>
      </c>
      <c r="D13" s="121">
        <f>+'3 PROBABIL E IMPACTO INHERENTE'!M11</f>
        <v>0.2</v>
      </c>
      <c r="E13" s="116" t="str">
        <f>+'4 MAPA CALOR INHERENTE'!C11</f>
        <v>Baja</v>
      </c>
      <c r="F13" s="116" t="str">
        <f>+'4 MAPA CALOR INHERENTE'!D11</f>
        <v>Leve</v>
      </c>
      <c r="G13" s="85" t="str">
        <f>+'4 MAPA CALOR INHERENTE'!E11</f>
        <v>Bajo</v>
      </c>
      <c r="H13" s="115">
        <f>+'5 VALORACIÓN DEL CONTROL'!T25</f>
        <v>0.6</v>
      </c>
      <c r="I13" s="86">
        <f>+'5 VALORACIÓN DEL CONTROL'!U25</f>
        <v>0.2</v>
      </c>
      <c r="J13" s="116" t="str">
        <f t="shared" si="3"/>
        <v>Media</v>
      </c>
      <c r="K13" s="116" t="str">
        <f t="shared" si="4"/>
        <v>Leve</v>
      </c>
      <c r="L13" s="85" t="str">
        <f t="shared" ref="L13:L30" si="5">+IF(J13=$AE$9,IF(K13=$AF$8,$AF$9,IF(K13=$AG$8,$AG$9,IF(K13=$AH$8,$AH$9,IF(K13=$AI$8,$AI$9,IF(K13=$AJ$8,$AJ$9))))),IF(J13=$AE$10,IF(K13=$AF$8,$AF$10,IF(K13=$AG$8,$AG$10,IF(K13=$AH$8,$AH$10,IF(K13=$AI$8,$AI$10,IF(K13=$AJ$8,$AJ$10))))),IF(J13=$AE$11,IF(K13=$AF$8,$AF$11,IF(K13=$AG$8,$AG$11,IF(K13=$AH$8,$AH$11,IF(K13=$AI$8,$AI$11,IF(K13=$AJ$8,$AJ$11))))),IF(J13=$AE$12,IF(K13=$AF$8,$AF$12,IF(K13=$AG$8,$AG$12,IF(K13=$AH$8,$AH$12,IF(K13=$AI$8,$AI$12,IF(K13=$AJ$8,$AJ$12))))),IF(J13=$AE$13,IF(K13=$AF$8,$AF$13,IF(K13=$AG$8,$AG$13,IF(K13=$AH$8,$AH$13,IF(K13=$AI$8,$AI$13,IF(K13=$AJ$8,$AJ$13))))),"")))))</f>
        <v>Moderado</v>
      </c>
      <c r="M13" s="85" t="str">
        <f t="shared" si="0"/>
        <v>Requiere Plan de Acción</v>
      </c>
      <c r="N13" s="85" t="str">
        <f t="shared" si="1"/>
        <v>Reducir_mitigar_Transferir_Evitar</v>
      </c>
      <c r="O13" s="208" t="s">
        <v>349</v>
      </c>
      <c r="P13" s="85" t="str">
        <f t="shared" si="2"/>
        <v>Reducir_Mitigar</v>
      </c>
      <c r="Q13" s="357" t="s">
        <v>385</v>
      </c>
      <c r="R13" s="208" t="s">
        <v>374</v>
      </c>
      <c r="S13" s="209">
        <v>46023</v>
      </c>
      <c r="T13" s="209">
        <v>46387</v>
      </c>
      <c r="U13" s="208"/>
      <c r="V13" s="208"/>
      <c r="W13" s="208"/>
      <c r="X13" s="208"/>
      <c r="Y13" s="208"/>
      <c r="Z13" s="208"/>
      <c r="AA13" s="87"/>
      <c r="AB13" s="87"/>
      <c r="AC13" s="557"/>
      <c r="AD13" s="102">
        <v>0.2</v>
      </c>
      <c r="AE13" s="103" t="s">
        <v>277</v>
      </c>
      <c r="AF13" s="98" t="s">
        <v>307</v>
      </c>
      <c r="AG13" s="98" t="s">
        <v>307</v>
      </c>
      <c r="AH13" s="99" t="s">
        <v>287</v>
      </c>
      <c r="AI13" s="100" t="s">
        <v>305</v>
      </c>
      <c r="AJ13" s="101" t="s">
        <v>306</v>
      </c>
      <c r="AM13" s="71"/>
      <c r="AN13" s="71"/>
      <c r="AO13" s="83"/>
      <c r="AP13" s="93"/>
      <c r="AQ13" s="94"/>
      <c r="AR13" s="91"/>
      <c r="AS13" s="91"/>
      <c r="AT13" s="91"/>
      <c r="AU13" s="104"/>
      <c r="AV13" s="91"/>
      <c r="AW13" s="83"/>
      <c r="AX13" s="83"/>
    </row>
    <row r="14" spans="1:50" ht="110.25" customHeight="1" x14ac:dyDescent="0.2">
      <c r="A14" s="84" t="str">
        <f>'2 CONTEXTO E IDENTIFICACIÓN'!A12</f>
        <v>GEGI-13</v>
      </c>
      <c r="B14" s="85" t="str">
        <f>+'2 CONTEXTO E IDENTIFICACIÓN'!J12</f>
        <v>Posibilidad de afectación económica y reputacional porafectación a los asistentes a actividades organizadas por la SES a causa de falta de planeación previa a la ejecución de las actividades organizadas con 100 o hasta 500 personas.</v>
      </c>
      <c r="C14" s="121">
        <f>+'3 PROBABIL E IMPACTO INHERENTE'!E12</f>
        <v>0.4</v>
      </c>
      <c r="D14" s="121">
        <f>+'3 PROBABIL E IMPACTO INHERENTE'!M12</f>
        <v>0.6</v>
      </c>
      <c r="E14" s="116" t="str">
        <f>+'4 MAPA CALOR INHERENTE'!C12</f>
        <v>Baja</v>
      </c>
      <c r="F14" s="116" t="str">
        <f>+'4 MAPA CALOR INHERENTE'!D12</f>
        <v>Moderado</v>
      </c>
      <c r="G14" s="85" t="str">
        <f>+'4 MAPA CALOR INHERENTE'!E12</f>
        <v>Moderado</v>
      </c>
      <c r="H14" s="115">
        <f>+'5 VALORACIÓN DEL CONTROL'!T31</f>
        <v>0.6</v>
      </c>
      <c r="I14" s="86">
        <f>+'5 VALORACIÓN DEL CONTROL'!U31</f>
        <v>0.6</v>
      </c>
      <c r="J14" s="116" t="str">
        <f t="shared" si="3"/>
        <v>Media</v>
      </c>
      <c r="K14" s="116" t="str">
        <f t="shared" si="4"/>
        <v>Moderado</v>
      </c>
      <c r="L14" s="85" t="str">
        <f t="shared" si="5"/>
        <v>Moderado</v>
      </c>
      <c r="M14" s="85" t="str">
        <f t="shared" si="0"/>
        <v>Requiere Plan de Acción</v>
      </c>
      <c r="N14" s="85" t="str">
        <f t="shared" si="1"/>
        <v>Reducir_mitigar_Transferir_Evitar</v>
      </c>
      <c r="O14" s="208" t="s">
        <v>169</v>
      </c>
      <c r="P14" s="85" t="str">
        <f t="shared" si="2"/>
        <v>Evitar</v>
      </c>
      <c r="Q14" s="51" t="s">
        <v>386</v>
      </c>
      <c r="R14" s="208" t="s">
        <v>374</v>
      </c>
      <c r="S14" s="209">
        <v>46023</v>
      </c>
      <c r="T14" s="209">
        <v>46387</v>
      </c>
      <c r="U14" s="208"/>
      <c r="V14" s="208"/>
      <c r="W14" s="208"/>
      <c r="X14" s="208"/>
      <c r="Y14" s="208"/>
      <c r="Z14" s="208"/>
      <c r="AA14" s="87"/>
      <c r="AB14" s="87"/>
      <c r="AM14" s="71"/>
      <c r="AN14" s="71"/>
      <c r="AO14" s="83"/>
      <c r="AP14" s="93"/>
      <c r="AQ14" s="94"/>
      <c r="AR14" s="91"/>
      <c r="AS14" s="91"/>
      <c r="AT14" s="91"/>
      <c r="AU14" s="91"/>
      <c r="AV14" s="91"/>
      <c r="AW14" s="83"/>
      <c r="AX14" s="83"/>
    </row>
    <row r="15" spans="1:50" ht="93" customHeight="1" x14ac:dyDescent="0.2">
      <c r="A15" s="84" t="str">
        <f>'2 CONTEXTO E IDENTIFICACIÓN'!A13</f>
        <v>GEGI-14</v>
      </c>
      <c r="B15" s="85" t="str">
        <f>+'2 CONTEXTO E IDENTIFICACIÓN'!J13</f>
        <v>Posibilidad de pérdida reputacional porsolicitar o recibir dádivas para adelantar trámites ante la Supersolidaria a causa de desconocimiento de los servicios dispuestos por la SES por parte de las entidades de economía solidaria, asociados y ciudadanía en general en la solicitud de trámites.</v>
      </c>
      <c r="C15" s="121">
        <f>+'3 PROBABIL E IMPACTO INHERENTE'!E13</f>
        <v>0.4</v>
      </c>
      <c r="D15" s="121">
        <f>+'3 PROBABIL E IMPACTO INHERENTE'!M13</f>
        <v>0.4</v>
      </c>
      <c r="E15" s="116" t="str">
        <f>+'4 MAPA CALOR INHERENTE'!C13</f>
        <v>Baja</v>
      </c>
      <c r="F15" s="116" t="str">
        <f>+'4 MAPA CALOR INHERENTE'!D13</f>
        <v>Menor</v>
      </c>
      <c r="G15" s="85" t="str">
        <f>+'4 MAPA CALOR INHERENTE'!E13</f>
        <v>Moderado</v>
      </c>
      <c r="H15" s="115">
        <f>+'5 VALORACIÓN DEL CONTROL'!T37</f>
        <v>0.6</v>
      </c>
      <c r="I15" s="86">
        <f>+'5 VALORACIÓN DEL CONTROL'!U37</f>
        <v>0.4</v>
      </c>
      <c r="J15" s="116" t="str">
        <f t="shared" si="3"/>
        <v>Media</v>
      </c>
      <c r="K15" s="116" t="str">
        <f t="shared" si="4"/>
        <v>Menor</v>
      </c>
      <c r="L15" s="85" t="str">
        <f t="shared" si="5"/>
        <v>Moderado</v>
      </c>
      <c r="M15" s="85" t="str">
        <f t="shared" si="0"/>
        <v>Requiere Plan de Acción</v>
      </c>
      <c r="N15" s="85" t="str">
        <f t="shared" si="1"/>
        <v>Reducir_mitigar_Transferir_Evitar</v>
      </c>
      <c r="O15" s="208"/>
      <c r="P15" s="85">
        <f t="shared" si="2"/>
        <v>0</v>
      </c>
      <c r="Q15" s="206"/>
      <c r="R15" s="208"/>
      <c r="S15" s="209"/>
      <c r="T15" s="209"/>
      <c r="U15" s="208"/>
      <c r="V15" s="208"/>
      <c r="W15" s="208"/>
      <c r="X15" s="208"/>
      <c r="Y15" s="208"/>
      <c r="Z15" s="208"/>
      <c r="AA15" s="87"/>
      <c r="AB15" s="87"/>
      <c r="AF15" s="75" t="s">
        <v>308</v>
      </c>
      <c r="AG15" s="75" t="s">
        <v>71</v>
      </c>
      <c r="AH15" s="75" t="s">
        <v>73</v>
      </c>
      <c r="AJ15" s="80" t="s">
        <v>350</v>
      </c>
      <c r="AK15" s="71"/>
      <c r="AL15" s="71"/>
      <c r="AM15" s="71"/>
      <c r="AN15" s="71"/>
      <c r="AO15" s="83"/>
      <c r="AP15" s="93"/>
      <c r="AQ15" s="83"/>
      <c r="AR15" s="94"/>
      <c r="AS15" s="94"/>
      <c r="AT15" s="94"/>
      <c r="AU15" s="94"/>
      <c r="AV15" s="94"/>
      <c r="AW15" s="83"/>
      <c r="AX15" s="83"/>
    </row>
    <row r="16" spans="1:50" ht="93" customHeight="1" x14ac:dyDescent="0.2">
      <c r="A16" s="84" t="str">
        <f>'2 CONTEXTO E IDENTIFICACIÓN'!A14</f>
        <v>GEGI-15</v>
      </c>
      <c r="B16" s="85" t="str">
        <f>+'2 CONTEXTO E IDENTIFICACIÓN'!J14</f>
        <v>Posibilidad de pérdida reputacional porfalta de interiorización de los valores institucionales señalados en el Código de Integridad por parte de los servidores de la entidad a causa de desconocimiento y/o falta de apropiación de la politica de conflictos de interés de la SES lo que podria generar recibir beneficios particulares o para un tercero por suministrar a traves de los canales de atención y comunicación de la SES información especifica de alguna organización solidaria vigilada o sus asociados.</v>
      </c>
      <c r="C16" s="121">
        <f>+'3 PROBABIL E IMPACTO INHERENTE'!E14</f>
        <v>0.4</v>
      </c>
      <c r="D16" s="121">
        <f>+'3 PROBABIL E IMPACTO INHERENTE'!M14</f>
        <v>0.2</v>
      </c>
      <c r="E16" s="116" t="str">
        <f>+'4 MAPA CALOR INHERENTE'!C14</f>
        <v>Baja</v>
      </c>
      <c r="F16" s="116" t="str">
        <f>+'4 MAPA CALOR INHERENTE'!D14</f>
        <v>Leve</v>
      </c>
      <c r="G16" s="85" t="str">
        <f>+'4 MAPA CALOR INHERENTE'!E14</f>
        <v>Bajo</v>
      </c>
      <c r="H16" s="115">
        <f>+'5 VALORACIÓN DEL CONTROL'!T43</f>
        <v>0.6</v>
      </c>
      <c r="I16" s="86">
        <f>+'5 VALORACIÓN DEL CONTROL'!U43</f>
        <v>0.2</v>
      </c>
      <c r="J16" s="116" t="str">
        <f t="shared" si="3"/>
        <v>Media</v>
      </c>
      <c r="K16" s="116" t="str">
        <f t="shared" si="4"/>
        <v>Leve</v>
      </c>
      <c r="L16" s="85" t="str">
        <f t="shared" si="5"/>
        <v>Moderado</v>
      </c>
      <c r="M16" s="85" t="str">
        <f t="shared" si="0"/>
        <v>Requiere Plan de Acción</v>
      </c>
      <c r="N16" s="85" t="str">
        <f t="shared" si="1"/>
        <v>Reducir_mitigar_Transferir_Evitar</v>
      </c>
      <c r="O16" s="208"/>
      <c r="P16" s="85">
        <f t="shared" si="2"/>
        <v>0</v>
      </c>
      <c r="Q16" s="208"/>
      <c r="R16" s="208"/>
      <c r="S16" s="209"/>
      <c r="T16" s="209"/>
      <c r="U16" s="208"/>
      <c r="V16" s="208"/>
      <c r="W16" s="208"/>
      <c r="X16" s="208"/>
      <c r="Y16" s="208"/>
      <c r="Z16" s="208"/>
      <c r="AA16" s="87"/>
      <c r="AB16" s="87"/>
      <c r="AF16" s="105" t="s">
        <v>306</v>
      </c>
      <c r="AG16" s="80" t="s">
        <v>350</v>
      </c>
      <c r="AH16" s="80" t="s">
        <v>351</v>
      </c>
      <c r="AI16" s="71"/>
      <c r="AJ16" s="299" t="s">
        <v>349</v>
      </c>
      <c r="AM16" s="71"/>
      <c r="AN16" s="71"/>
      <c r="AO16" s="83"/>
      <c r="AP16" s="83"/>
      <c r="AQ16" s="83"/>
      <c r="AR16" s="91"/>
      <c r="AS16" s="91"/>
      <c r="AT16" s="91"/>
      <c r="AU16" s="91"/>
      <c r="AV16" s="91"/>
      <c r="AW16" s="83"/>
      <c r="AX16" s="83"/>
    </row>
    <row r="17" spans="1:50" ht="93" customHeight="1" x14ac:dyDescent="0.2">
      <c r="A17" s="84" t="str">
        <f>'2 CONTEXTO E IDENTIFICACIÓN'!A15</f>
        <v>GEGI-12</v>
      </c>
      <c r="B17" s="85" t="str">
        <f>+'2 CONTEXTO E IDENTIFICACIÓN'!J15</f>
        <v>Posibilidad de pérdida reputacional porrecibir un beneficio particular o para un tercero a causa de suministrar a través de los canales de atención y comunicación de la SES información especifica de alguna organización solidaria vigilada o sus asociados.</v>
      </c>
      <c r="C17" s="121">
        <f>+'3 PROBABIL E IMPACTO INHERENTE'!E15</f>
        <v>0.4</v>
      </c>
      <c r="D17" s="121">
        <f>+'3 PROBABIL E IMPACTO INHERENTE'!M15</f>
        <v>0.2</v>
      </c>
      <c r="E17" s="116" t="str">
        <f>+'4 MAPA CALOR INHERENTE'!C15</f>
        <v>Baja</v>
      </c>
      <c r="F17" s="116" t="str">
        <f>+'4 MAPA CALOR INHERENTE'!D15</f>
        <v>Leve</v>
      </c>
      <c r="G17" s="85" t="str">
        <f>+'4 MAPA CALOR INHERENTE'!E15</f>
        <v>Bajo</v>
      </c>
      <c r="H17" s="115">
        <f>+'5 VALORACIÓN DEL CONTROL'!T49</f>
        <v>0.6</v>
      </c>
      <c r="I17" s="86">
        <f>+'5 VALORACIÓN DEL CONTROL'!U49</f>
        <v>0.2</v>
      </c>
      <c r="J17" s="116" t="str">
        <f t="shared" si="3"/>
        <v>Media</v>
      </c>
      <c r="K17" s="116" t="str">
        <f t="shared" si="4"/>
        <v>Leve</v>
      </c>
      <c r="L17" s="85" t="str">
        <f t="shared" si="5"/>
        <v>Moderado</v>
      </c>
      <c r="M17" s="85" t="str">
        <f t="shared" si="0"/>
        <v>Requiere Plan de Acción</v>
      </c>
      <c r="N17" s="85" t="str">
        <f t="shared" si="1"/>
        <v>Reducir_mitigar_Transferir_Evitar</v>
      </c>
      <c r="O17" s="208"/>
      <c r="P17" s="85">
        <f t="shared" si="2"/>
        <v>0</v>
      </c>
      <c r="Q17" s="208"/>
      <c r="R17" s="208"/>
      <c r="S17" s="209"/>
      <c r="T17" s="209"/>
      <c r="U17" s="208"/>
      <c r="V17" s="208"/>
      <c r="W17" s="208"/>
      <c r="X17" s="208"/>
      <c r="Y17" s="208"/>
      <c r="Z17" s="208"/>
      <c r="AA17" s="87"/>
      <c r="AB17" s="87"/>
      <c r="AF17" s="88" t="s">
        <v>305</v>
      </c>
      <c r="AG17" s="80" t="s">
        <v>350</v>
      </c>
      <c r="AH17" s="80" t="s">
        <v>351</v>
      </c>
      <c r="AI17" s="71"/>
      <c r="AJ17" s="299" t="s">
        <v>352</v>
      </c>
      <c r="AK17" s="71"/>
      <c r="AL17" s="71"/>
      <c r="AM17" s="71"/>
      <c r="AN17" s="71"/>
      <c r="AO17" s="83"/>
      <c r="AP17" s="83"/>
      <c r="AQ17" s="83"/>
      <c r="AR17" s="91"/>
      <c r="AS17" s="91"/>
      <c r="AT17" s="91"/>
      <c r="AU17" s="91"/>
      <c r="AV17" s="91"/>
      <c r="AW17" s="83"/>
      <c r="AX17" s="83"/>
    </row>
    <row r="18" spans="1:50" ht="93" hidden="1" customHeight="1" x14ac:dyDescent="0.2">
      <c r="A18" s="84" t="str">
        <f>'2 CONTEXTO E IDENTIFICACIÓN'!A16</f>
        <v>R8</v>
      </c>
      <c r="B18" s="85" t="str">
        <f>+'2 CONTEXTO E IDENTIFICACIÓN'!J16</f>
        <v xml:space="preserve"> por a causa de </v>
      </c>
      <c r="C18" s="121" t="str">
        <f>+'3 PROBABIL E IMPACTO INHERENTE'!E16</f>
        <v/>
      </c>
      <c r="D18" s="121" t="str">
        <f>+'3 PROBABIL E IMPACTO INHERENTE'!M16</f>
        <v/>
      </c>
      <c r="E18" s="116" t="str">
        <f>+'4 MAPA CALOR INHERENTE'!C16</f>
        <v/>
      </c>
      <c r="F18" s="116" t="str">
        <f>+'4 MAPA CALOR INHERENTE'!D16</f>
        <v/>
      </c>
      <c r="G18" s="85" t="str">
        <f>+'4 MAPA CALOR INHERENTE'!E16</f>
        <v/>
      </c>
      <c r="H18" s="115">
        <f>+'5 VALORACIÓN DEL CONTROL'!T55</f>
        <v>0.6</v>
      </c>
      <c r="I18" s="86" t="str">
        <f>+'5 VALORACIÓN DEL CONTROL'!U55</f>
        <v/>
      </c>
      <c r="J18" s="116" t="str">
        <f t="shared" si="3"/>
        <v>Media</v>
      </c>
      <c r="K18" s="116" t="str">
        <f t="shared" si="4"/>
        <v/>
      </c>
      <c r="L18" s="85" t="b">
        <f t="shared" si="5"/>
        <v>0</v>
      </c>
      <c r="M18" s="85" t="b">
        <f t="shared" si="0"/>
        <v>0</v>
      </c>
      <c r="N18" s="85" t="b">
        <f t="shared" si="1"/>
        <v>0</v>
      </c>
      <c r="O18" s="208"/>
      <c r="P18" s="85">
        <f t="shared" si="2"/>
        <v>0</v>
      </c>
      <c r="Q18" s="208"/>
      <c r="R18" s="208"/>
      <c r="S18" s="209"/>
      <c r="T18" s="209"/>
      <c r="U18" s="208"/>
      <c r="V18" s="208"/>
      <c r="W18" s="208"/>
      <c r="X18" s="208"/>
      <c r="Y18" s="208"/>
      <c r="Z18" s="208"/>
      <c r="AA18" s="87"/>
      <c r="AB18" s="87"/>
      <c r="AE18" s="106"/>
      <c r="AF18" s="92" t="s">
        <v>287</v>
      </c>
      <c r="AG18" s="80" t="s">
        <v>350</v>
      </c>
      <c r="AH18" s="80" t="s">
        <v>351</v>
      </c>
      <c r="AI18" s="106"/>
      <c r="AJ18" s="299" t="s">
        <v>169</v>
      </c>
      <c r="AK18" s="106"/>
      <c r="AL18" s="106"/>
      <c r="AM18" s="106"/>
      <c r="AN18" s="106"/>
      <c r="AO18" s="83"/>
      <c r="AP18" s="83"/>
      <c r="AQ18" s="107"/>
      <c r="AR18" s="107"/>
      <c r="AS18" s="107"/>
      <c r="AT18" s="107"/>
      <c r="AU18" s="107"/>
      <c r="AV18" s="107"/>
      <c r="AW18" s="83"/>
      <c r="AX18" s="83"/>
    </row>
    <row r="19" spans="1:50" ht="93" hidden="1" customHeight="1" x14ac:dyDescent="0.2">
      <c r="A19" s="84" t="str">
        <f>'2 CONTEXTO E IDENTIFICACIÓN'!A17</f>
        <v>R9</v>
      </c>
      <c r="B19" s="85"/>
      <c r="C19" s="121" t="str">
        <f>+'3 PROBABIL E IMPACTO INHERENTE'!E17</f>
        <v/>
      </c>
      <c r="D19" s="121" t="str">
        <f>+'3 PROBABIL E IMPACTO INHERENTE'!M17</f>
        <v/>
      </c>
      <c r="E19" s="116" t="str">
        <f>+'4 MAPA CALOR INHERENTE'!C17</f>
        <v/>
      </c>
      <c r="F19" s="116" t="str">
        <f>+'4 MAPA CALOR INHERENTE'!D17</f>
        <v/>
      </c>
      <c r="G19" s="85" t="str">
        <f>+'4 MAPA CALOR INHERENTE'!E17</f>
        <v/>
      </c>
      <c r="H19" s="115">
        <f>+'5 VALORACIÓN DEL CONTROL'!T61</f>
        <v>0.6</v>
      </c>
      <c r="I19" s="86" t="str">
        <f>+'5 VALORACIÓN DEL CONTROL'!U61</f>
        <v/>
      </c>
      <c r="J19" s="116" t="str">
        <f t="shared" si="3"/>
        <v>Media</v>
      </c>
      <c r="K19" s="116" t="str">
        <f t="shared" si="4"/>
        <v/>
      </c>
      <c r="L19" s="85" t="b">
        <f t="shared" si="5"/>
        <v>0</v>
      </c>
      <c r="M19" s="85" t="b">
        <f t="shared" si="0"/>
        <v>0</v>
      </c>
      <c r="N19" s="85" t="b">
        <f t="shared" si="1"/>
        <v>0</v>
      </c>
      <c r="O19" s="208"/>
      <c r="P19" s="85">
        <f t="shared" si="2"/>
        <v>0</v>
      </c>
      <c r="Q19" s="208"/>
      <c r="R19" s="208"/>
      <c r="S19" s="209"/>
      <c r="T19" s="209"/>
      <c r="U19" s="208"/>
      <c r="V19" s="208"/>
      <c r="W19" s="208"/>
      <c r="X19" s="208"/>
      <c r="Y19" s="208"/>
      <c r="Z19" s="208"/>
      <c r="AA19" s="87"/>
      <c r="AB19" s="87"/>
      <c r="AE19" s="106"/>
      <c r="AF19" s="96" t="s">
        <v>307</v>
      </c>
      <c r="AG19" s="80" t="s">
        <v>166</v>
      </c>
      <c r="AH19" s="80" t="s">
        <v>353</v>
      </c>
      <c r="AM19" s="106"/>
      <c r="AN19" s="106"/>
      <c r="AO19" s="83"/>
      <c r="AP19" s="83"/>
      <c r="AQ19" s="83"/>
      <c r="AR19" s="91"/>
      <c r="AS19" s="91"/>
      <c r="AT19" s="91"/>
      <c r="AU19" s="91"/>
      <c r="AV19" s="91"/>
      <c r="AW19" s="83"/>
      <c r="AX19" s="83"/>
    </row>
    <row r="20" spans="1:50" ht="93" hidden="1" customHeight="1" x14ac:dyDescent="0.2">
      <c r="A20" s="84" t="str">
        <f>'2 CONTEXTO E IDENTIFICACIÓN'!A18</f>
        <v>R10</v>
      </c>
      <c r="B20" s="85"/>
      <c r="C20" s="121" t="str">
        <f>+'3 PROBABIL E IMPACTO INHERENTE'!E18</f>
        <v/>
      </c>
      <c r="D20" s="121" t="str">
        <f>+'3 PROBABIL E IMPACTO INHERENTE'!M18</f>
        <v/>
      </c>
      <c r="E20" s="116" t="str">
        <f>+'4 MAPA CALOR INHERENTE'!C18</f>
        <v/>
      </c>
      <c r="F20" s="116" t="str">
        <f>+'4 MAPA CALOR INHERENTE'!D18</f>
        <v/>
      </c>
      <c r="G20" s="85" t="str">
        <f>+'4 MAPA CALOR INHERENTE'!E18</f>
        <v/>
      </c>
      <c r="H20" s="115">
        <f>+'5 VALORACIÓN DEL CONTROL'!T67</f>
        <v>0.6</v>
      </c>
      <c r="I20" s="86" t="str">
        <f>+'5 VALORACIÓN DEL CONTROL'!U67</f>
        <v/>
      </c>
      <c r="J20" s="116" t="str">
        <f t="shared" si="3"/>
        <v>Media</v>
      </c>
      <c r="K20" s="116" t="str">
        <f t="shared" si="4"/>
        <v/>
      </c>
      <c r="L20" s="85" t="b">
        <f t="shared" si="5"/>
        <v>0</v>
      </c>
      <c r="M20" s="85" t="b">
        <f t="shared" si="0"/>
        <v>0</v>
      </c>
      <c r="N20" s="85" t="b">
        <f t="shared" si="1"/>
        <v>0</v>
      </c>
      <c r="O20" s="208"/>
      <c r="P20" s="85">
        <f t="shared" si="2"/>
        <v>0</v>
      </c>
      <c r="Q20" s="208"/>
      <c r="R20" s="208"/>
      <c r="S20" s="209"/>
      <c r="T20" s="209"/>
      <c r="U20" s="208"/>
      <c r="V20" s="208"/>
      <c r="W20" s="208"/>
      <c r="X20" s="208"/>
      <c r="Y20" s="208"/>
      <c r="Z20" s="208"/>
      <c r="AA20" s="87"/>
      <c r="AB20" s="87"/>
      <c r="AC20" s="108"/>
      <c r="AD20" s="108"/>
      <c r="AE20" s="106"/>
      <c r="AF20" s="185"/>
      <c r="AM20" s="106"/>
      <c r="AN20" s="106"/>
      <c r="AO20" s="83"/>
      <c r="AP20" s="83"/>
      <c r="AQ20" s="83"/>
      <c r="AR20" s="91"/>
      <c r="AS20" s="91"/>
      <c r="AT20" s="91"/>
      <c r="AU20" s="91"/>
      <c r="AV20" s="91"/>
      <c r="AW20" s="83"/>
      <c r="AX20" s="83"/>
    </row>
    <row r="21" spans="1:50" ht="93" hidden="1" customHeight="1" x14ac:dyDescent="0.2">
      <c r="A21" s="84" t="str">
        <f>'2 CONTEXTO E IDENTIFICACIÓN'!A19</f>
        <v>R11</v>
      </c>
      <c r="B21" s="85" t="str">
        <f>+'2 CONTEXTO E IDENTIFICACIÓN'!J16</f>
        <v xml:space="preserve"> por a causa de </v>
      </c>
      <c r="C21" s="121" t="str">
        <f>+'3 PROBABIL E IMPACTO INHERENTE'!E19</f>
        <v/>
      </c>
      <c r="D21" s="121" t="str">
        <f>+'3 PROBABIL E IMPACTO INHERENTE'!M19</f>
        <v/>
      </c>
      <c r="E21" s="116" t="str">
        <f>+'4 MAPA CALOR INHERENTE'!C19</f>
        <v/>
      </c>
      <c r="F21" s="116" t="str">
        <f>+'4 MAPA CALOR INHERENTE'!D19</f>
        <v/>
      </c>
      <c r="G21" s="85" t="str">
        <f>+'4 MAPA CALOR INHERENTE'!E19</f>
        <v/>
      </c>
      <c r="H21" s="115">
        <f>+'5 VALORACIÓN DEL CONTROL'!T73</f>
        <v>0.6</v>
      </c>
      <c r="I21" s="86" t="str">
        <f>+'5 VALORACIÓN DEL CONTROL'!U73</f>
        <v/>
      </c>
      <c r="J21" s="116" t="str">
        <f t="shared" si="3"/>
        <v>Media</v>
      </c>
      <c r="K21" s="116" t="str">
        <f t="shared" si="4"/>
        <v/>
      </c>
      <c r="L21" s="85" t="b">
        <f t="shared" si="5"/>
        <v>0</v>
      </c>
      <c r="M21" s="85" t="b">
        <f t="shared" si="0"/>
        <v>0</v>
      </c>
      <c r="N21" s="85" t="b">
        <f t="shared" si="1"/>
        <v>0</v>
      </c>
      <c r="O21" s="208"/>
      <c r="P21" s="85">
        <f t="shared" si="2"/>
        <v>0</v>
      </c>
      <c r="Q21" s="208"/>
      <c r="R21" s="208"/>
      <c r="S21" s="209"/>
      <c r="T21" s="209"/>
      <c r="U21" s="208"/>
      <c r="V21" s="208"/>
      <c r="W21" s="208"/>
      <c r="X21" s="208"/>
      <c r="Y21" s="208"/>
      <c r="Z21" s="208"/>
      <c r="AA21" s="87"/>
      <c r="AB21" s="87"/>
      <c r="AC21" s="108"/>
      <c r="AD21" s="108"/>
      <c r="AE21" s="109"/>
      <c r="AM21" s="106"/>
      <c r="AN21" s="106"/>
      <c r="AO21" s="83"/>
      <c r="AP21" s="104"/>
      <c r="AQ21" s="104"/>
      <c r="AR21" s="104"/>
      <c r="AS21" s="104"/>
      <c r="AT21" s="104"/>
      <c r="AU21" s="104"/>
      <c r="AV21" s="91"/>
      <c r="AW21" s="83"/>
      <c r="AX21" s="83"/>
    </row>
    <row r="22" spans="1:50" ht="93" hidden="1" customHeight="1" x14ac:dyDescent="0.2">
      <c r="A22" s="84" t="str">
        <f>'2 CONTEXTO E IDENTIFICACIÓN'!A20</f>
        <v>R12</v>
      </c>
      <c r="B22" s="85" t="str">
        <f>+'2 CONTEXTO E IDENTIFICACIÓN'!J17</f>
        <v xml:space="preserve"> por a causa de </v>
      </c>
      <c r="C22" s="121" t="str">
        <f>+'3 PROBABIL E IMPACTO INHERENTE'!E20</f>
        <v/>
      </c>
      <c r="D22" s="121" t="str">
        <f>+'3 PROBABIL E IMPACTO INHERENTE'!M20</f>
        <v/>
      </c>
      <c r="E22" s="116" t="str">
        <f>+'4 MAPA CALOR INHERENTE'!C20</f>
        <v/>
      </c>
      <c r="F22" s="116" t="str">
        <f>+'4 MAPA CALOR INHERENTE'!D20</f>
        <v/>
      </c>
      <c r="G22" s="85" t="str">
        <f>+'4 MAPA CALOR INHERENTE'!E20</f>
        <v/>
      </c>
      <c r="H22" s="115">
        <f>+'5 VALORACIÓN DEL CONTROL'!T79</f>
        <v>0.6</v>
      </c>
      <c r="I22" s="86" t="str">
        <f>+'5 VALORACIÓN DEL CONTROL'!U79</f>
        <v/>
      </c>
      <c r="J22" s="116" t="str">
        <f t="shared" si="3"/>
        <v>Media</v>
      </c>
      <c r="K22" s="116" t="str">
        <f t="shared" si="4"/>
        <v/>
      </c>
      <c r="L22" s="85" t="b">
        <f t="shared" si="5"/>
        <v>0</v>
      </c>
      <c r="M22" s="85" t="b">
        <f t="shared" si="0"/>
        <v>0</v>
      </c>
      <c r="N22" s="85" t="b">
        <f t="shared" si="1"/>
        <v>0</v>
      </c>
      <c r="O22" s="208"/>
      <c r="P22" s="85">
        <f t="shared" si="2"/>
        <v>0</v>
      </c>
      <c r="Q22" s="208"/>
      <c r="R22" s="208"/>
      <c r="S22" s="209"/>
      <c r="T22" s="209"/>
      <c r="U22" s="208"/>
      <c r="V22" s="208"/>
      <c r="W22" s="208"/>
      <c r="X22" s="208"/>
      <c r="Y22" s="208"/>
      <c r="Z22" s="208"/>
      <c r="AA22" s="87"/>
      <c r="AB22" s="87"/>
      <c r="AC22" s="108"/>
      <c r="AD22" s="108"/>
      <c r="AO22" s="83"/>
      <c r="AP22" s="110"/>
      <c r="AQ22" s="110"/>
      <c r="AR22" s="110"/>
      <c r="AS22" s="110"/>
      <c r="AT22" s="110"/>
      <c r="AU22" s="110"/>
      <c r="AV22" s="91"/>
      <c r="AW22" s="83"/>
      <c r="AX22" s="83"/>
    </row>
    <row r="23" spans="1:50" ht="93" hidden="1" customHeight="1" x14ac:dyDescent="0.2">
      <c r="A23" s="84" t="str">
        <f>'2 CONTEXTO E IDENTIFICACIÓN'!A21</f>
        <v>R13</v>
      </c>
      <c r="B23" s="85" t="str">
        <f>+'2 CONTEXTO E IDENTIFICACIÓN'!J18</f>
        <v xml:space="preserve"> por a causa de </v>
      </c>
      <c r="C23" s="121" t="str">
        <f>+'3 PROBABIL E IMPACTO INHERENTE'!E21</f>
        <v/>
      </c>
      <c r="D23" s="121" t="str">
        <f>+'3 PROBABIL E IMPACTO INHERENTE'!M21</f>
        <v/>
      </c>
      <c r="E23" s="116" t="str">
        <f>+'4 MAPA CALOR INHERENTE'!C21</f>
        <v/>
      </c>
      <c r="F23" s="116" t="str">
        <f>+'4 MAPA CALOR INHERENTE'!D21</f>
        <v/>
      </c>
      <c r="G23" s="85" t="str">
        <f>+'4 MAPA CALOR INHERENTE'!E21</f>
        <v/>
      </c>
      <c r="H23" s="115">
        <f>+'5 VALORACIÓN DEL CONTROL'!T85</f>
        <v>0.6</v>
      </c>
      <c r="I23" s="86" t="str">
        <f>+'5 VALORACIÓN DEL CONTROL'!U85</f>
        <v/>
      </c>
      <c r="J23" s="116" t="str">
        <f t="shared" si="3"/>
        <v>Media</v>
      </c>
      <c r="K23" s="116" t="str">
        <f t="shared" si="4"/>
        <v/>
      </c>
      <c r="L23" s="85" t="b">
        <f t="shared" si="5"/>
        <v>0</v>
      </c>
      <c r="M23" s="85" t="b">
        <f t="shared" si="0"/>
        <v>0</v>
      </c>
      <c r="N23" s="85" t="b">
        <f t="shared" si="1"/>
        <v>0</v>
      </c>
      <c r="O23" s="208"/>
      <c r="P23" s="85">
        <f t="shared" si="2"/>
        <v>0</v>
      </c>
      <c r="Q23" s="208"/>
      <c r="R23" s="208"/>
      <c r="S23" s="209"/>
      <c r="T23" s="209"/>
      <c r="U23" s="208"/>
      <c r="V23" s="208"/>
      <c r="W23" s="208"/>
      <c r="X23" s="208"/>
      <c r="Y23" s="208"/>
      <c r="Z23" s="208"/>
      <c r="AA23" s="87"/>
      <c r="AB23" s="87"/>
      <c r="AC23" s="108"/>
      <c r="AD23" s="108"/>
      <c r="AO23" s="83"/>
      <c r="AP23" s="104"/>
      <c r="AQ23" s="104"/>
      <c r="AR23" s="104"/>
      <c r="AS23" s="104"/>
      <c r="AT23" s="104"/>
      <c r="AU23" s="104"/>
      <c r="AV23" s="91"/>
      <c r="AW23" s="83"/>
      <c r="AX23" s="83"/>
    </row>
    <row r="24" spans="1:50" ht="93" hidden="1" customHeight="1" x14ac:dyDescent="0.2">
      <c r="A24" s="84" t="str">
        <f>'2 CONTEXTO E IDENTIFICACIÓN'!A22</f>
        <v>R14</v>
      </c>
      <c r="B24" s="85" t="str">
        <f>+'2 CONTEXTO E IDENTIFICACIÓN'!J19</f>
        <v xml:space="preserve"> por a causa de </v>
      </c>
      <c r="C24" s="121" t="str">
        <f>+'3 PROBABIL E IMPACTO INHERENTE'!E22</f>
        <v/>
      </c>
      <c r="D24" s="121" t="str">
        <f>+'3 PROBABIL E IMPACTO INHERENTE'!M22</f>
        <v/>
      </c>
      <c r="E24" s="116" t="str">
        <f>+'4 MAPA CALOR INHERENTE'!C22</f>
        <v/>
      </c>
      <c r="F24" s="116" t="str">
        <f>+'4 MAPA CALOR INHERENTE'!D22</f>
        <v/>
      </c>
      <c r="G24" s="85" t="str">
        <f>+'4 MAPA CALOR INHERENTE'!E22</f>
        <v/>
      </c>
      <c r="H24" s="115">
        <f>+'5 VALORACIÓN DEL CONTROL'!T91</f>
        <v>0.6</v>
      </c>
      <c r="I24" s="86" t="str">
        <f>+'5 VALORACIÓN DEL CONTROL'!U91</f>
        <v/>
      </c>
      <c r="J24" s="116" t="str">
        <f t="shared" si="3"/>
        <v>Media</v>
      </c>
      <c r="K24" s="116" t="str">
        <f t="shared" si="4"/>
        <v/>
      </c>
      <c r="L24" s="85" t="b">
        <f t="shared" si="5"/>
        <v>0</v>
      </c>
      <c r="M24" s="85" t="b">
        <f t="shared" si="0"/>
        <v>0</v>
      </c>
      <c r="N24" s="85" t="b">
        <f t="shared" si="1"/>
        <v>0</v>
      </c>
      <c r="O24" s="208"/>
      <c r="P24" s="85">
        <f t="shared" si="2"/>
        <v>0</v>
      </c>
      <c r="Q24" s="208"/>
      <c r="R24" s="208"/>
      <c r="S24" s="209"/>
      <c r="T24" s="209"/>
      <c r="U24" s="208"/>
      <c r="V24" s="208"/>
      <c r="W24" s="208"/>
      <c r="X24" s="208"/>
      <c r="Y24" s="208"/>
      <c r="Z24" s="208"/>
      <c r="AA24" s="87"/>
      <c r="AB24" s="87"/>
      <c r="AO24" s="83"/>
      <c r="AP24" s="104"/>
      <c r="AQ24" s="104"/>
      <c r="AR24" s="104"/>
      <c r="AS24" s="104"/>
      <c r="AT24" s="104"/>
      <c r="AU24" s="104"/>
      <c r="AV24" s="91"/>
      <c r="AW24" s="83"/>
      <c r="AX24" s="83"/>
    </row>
    <row r="25" spans="1:50" ht="93" hidden="1" customHeight="1" x14ac:dyDescent="0.25">
      <c r="A25" s="84" t="str">
        <f>'2 CONTEXTO E IDENTIFICACIÓN'!A23</f>
        <v>R15</v>
      </c>
      <c r="B25" s="85" t="str">
        <f>+'2 CONTEXTO E IDENTIFICACIÓN'!J20</f>
        <v xml:space="preserve"> por a causa de </v>
      </c>
      <c r="C25" s="121" t="str">
        <f>+'3 PROBABIL E IMPACTO INHERENTE'!E23</f>
        <v/>
      </c>
      <c r="D25" s="121" t="str">
        <f>+'3 PROBABIL E IMPACTO INHERENTE'!M23</f>
        <v/>
      </c>
      <c r="E25" s="116" t="str">
        <f>+'4 MAPA CALOR INHERENTE'!C23</f>
        <v/>
      </c>
      <c r="F25" s="116" t="str">
        <f>+'4 MAPA CALOR INHERENTE'!D23</f>
        <v/>
      </c>
      <c r="G25" s="85" t="str">
        <f>+'4 MAPA CALOR INHERENTE'!E23</f>
        <v/>
      </c>
      <c r="H25" s="115">
        <f>+'5 VALORACIÓN DEL CONTROL'!T97</f>
        <v>0.6</v>
      </c>
      <c r="I25" s="86">
        <f>+'5 VALORACIÓN DEL CONTROL'!U97</f>
        <v>0</v>
      </c>
      <c r="J25" s="116" t="str">
        <f t="shared" si="3"/>
        <v>Media</v>
      </c>
      <c r="K25" s="116" t="str">
        <f t="shared" si="4"/>
        <v/>
      </c>
      <c r="L25" s="85" t="b">
        <f t="shared" si="5"/>
        <v>0</v>
      </c>
      <c r="M25" s="85" t="b">
        <f t="shared" si="0"/>
        <v>0</v>
      </c>
      <c r="N25" s="85" t="b">
        <f t="shared" si="1"/>
        <v>0</v>
      </c>
      <c r="O25" s="208"/>
      <c r="P25" s="85">
        <f t="shared" si="2"/>
        <v>0</v>
      </c>
      <c r="Q25" s="208"/>
      <c r="R25" s="208"/>
      <c r="S25" s="209"/>
      <c r="T25" s="209"/>
      <c r="U25" s="208"/>
      <c r="V25" s="208"/>
      <c r="W25" s="208"/>
      <c r="X25" s="208"/>
      <c r="Y25" s="208"/>
      <c r="Z25" s="208"/>
      <c r="AA25" s="87"/>
      <c r="AB25" s="87"/>
    </row>
    <row r="26" spans="1:50" ht="93" hidden="1" customHeight="1" x14ac:dyDescent="0.25">
      <c r="A26" s="84" t="str">
        <f>'2 CONTEXTO E IDENTIFICACIÓN'!A24</f>
        <v>R16</v>
      </c>
      <c r="B26" s="85" t="str">
        <f>+'2 CONTEXTO E IDENTIFICACIÓN'!J21</f>
        <v xml:space="preserve"> por a causa de </v>
      </c>
      <c r="C26" s="121" t="str">
        <f>+'3 PROBABIL E IMPACTO INHERENTE'!E24</f>
        <v/>
      </c>
      <c r="D26" s="121" t="str">
        <f>+'3 PROBABIL E IMPACTO INHERENTE'!M24</f>
        <v/>
      </c>
      <c r="E26" s="116" t="str">
        <f>+'4 MAPA CALOR INHERENTE'!C24</f>
        <v/>
      </c>
      <c r="F26" s="116" t="str">
        <f>+'4 MAPA CALOR INHERENTE'!D24</f>
        <v/>
      </c>
      <c r="G26" s="85" t="str">
        <f>+'4 MAPA CALOR INHERENTE'!E24</f>
        <v/>
      </c>
      <c r="H26" s="115">
        <f>+'5 VALORACIÓN DEL CONTROL'!T103</f>
        <v>0.6</v>
      </c>
      <c r="I26" s="86">
        <f>+'5 VALORACIÓN DEL CONTROL'!U103</f>
        <v>0</v>
      </c>
      <c r="J26" s="116" t="str">
        <f t="shared" si="3"/>
        <v>Media</v>
      </c>
      <c r="K26" s="116" t="str">
        <f t="shared" si="4"/>
        <v/>
      </c>
      <c r="L26" s="85" t="b">
        <f t="shared" si="5"/>
        <v>0</v>
      </c>
      <c r="M26" s="85" t="b">
        <f t="shared" si="0"/>
        <v>0</v>
      </c>
      <c r="N26" s="85" t="b">
        <f t="shared" si="1"/>
        <v>0</v>
      </c>
      <c r="O26" s="208"/>
      <c r="P26" s="85">
        <f t="shared" si="2"/>
        <v>0</v>
      </c>
      <c r="Q26" s="208"/>
      <c r="R26" s="208"/>
      <c r="S26" s="209"/>
      <c r="T26" s="209"/>
      <c r="U26" s="208"/>
      <c r="V26" s="208"/>
      <c r="W26" s="208"/>
      <c r="X26" s="208"/>
      <c r="Y26" s="208"/>
      <c r="Z26" s="208"/>
      <c r="AA26" s="87"/>
      <c r="AB26" s="87"/>
    </row>
    <row r="27" spans="1:50" ht="93" hidden="1" customHeight="1" x14ac:dyDescent="0.25">
      <c r="A27" s="84" t="str">
        <f>'2 CONTEXTO E IDENTIFICACIÓN'!A25</f>
        <v>R17</v>
      </c>
      <c r="B27" s="85" t="str">
        <f>+'2 CONTEXTO E IDENTIFICACIÓN'!J22</f>
        <v xml:space="preserve"> por a causa de </v>
      </c>
      <c r="C27" s="121" t="str">
        <f>+'3 PROBABIL E IMPACTO INHERENTE'!E25</f>
        <v/>
      </c>
      <c r="D27" s="121" t="str">
        <f>+'3 PROBABIL E IMPACTO INHERENTE'!M25</f>
        <v/>
      </c>
      <c r="E27" s="116" t="str">
        <f>+'4 MAPA CALOR INHERENTE'!C25</f>
        <v/>
      </c>
      <c r="F27" s="116" t="str">
        <f>+'4 MAPA CALOR INHERENTE'!D25</f>
        <v/>
      </c>
      <c r="G27" s="85" t="str">
        <f>+'4 MAPA CALOR INHERENTE'!E25</f>
        <v/>
      </c>
      <c r="H27" s="115">
        <f>+'5 VALORACIÓN DEL CONTROL'!T109</f>
        <v>0.6</v>
      </c>
      <c r="I27" s="86">
        <f>+'5 VALORACIÓN DEL CONTROL'!U109</f>
        <v>0</v>
      </c>
      <c r="J27" s="116" t="str">
        <f t="shared" si="3"/>
        <v>Media</v>
      </c>
      <c r="K27" s="116" t="str">
        <f t="shared" si="4"/>
        <v/>
      </c>
      <c r="L27" s="85" t="b">
        <f t="shared" si="5"/>
        <v>0</v>
      </c>
      <c r="M27" s="85" t="b">
        <f t="shared" si="0"/>
        <v>0</v>
      </c>
      <c r="N27" s="85" t="b">
        <f t="shared" si="1"/>
        <v>0</v>
      </c>
      <c r="O27" s="208"/>
      <c r="P27" s="85">
        <f t="shared" si="2"/>
        <v>0</v>
      </c>
      <c r="Q27" s="208"/>
      <c r="R27" s="208"/>
      <c r="S27" s="209"/>
      <c r="T27" s="209"/>
      <c r="U27" s="208"/>
      <c r="V27" s="208"/>
      <c r="W27" s="208"/>
      <c r="X27" s="208"/>
      <c r="Y27" s="208"/>
      <c r="Z27" s="208"/>
      <c r="AA27" s="87"/>
      <c r="AB27" s="87"/>
    </row>
    <row r="28" spans="1:50" ht="93" hidden="1" customHeight="1" x14ac:dyDescent="0.25">
      <c r="A28" s="84">
        <f>'2 CONTEXTO E IDENTIFICACIÓN'!A26</f>
        <v>0</v>
      </c>
      <c r="B28" s="85" t="str">
        <f>+'2 CONTEXTO E IDENTIFICACIÓN'!J23</f>
        <v xml:space="preserve"> por a causa de </v>
      </c>
      <c r="C28" s="121" t="str">
        <f>+'3 PROBABIL E IMPACTO INHERENTE'!E26</f>
        <v/>
      </c>
      <c r="D28" s="121" t="str">
        <f>+'3 PROBABIL E IMPACTO INHERENTE'!M26</f>
        <v/>
      </c>
      <c r="E28" s="116" t="str">
        <f>+'4 MAPA CALOR INHERENTE'!C26</f>
        <v/>
      </c>
      <c r="F28" s="116" t="str">
        <f>+'4 MAPA CALOR INHERENTE'!D26</f>
        <v/>
      </c>
      <c r="G28" s="85" t="str">
        <f>+'4 MAPA CALOR INHERENTE'!E26</f>
        <v/>
      </c>
      <c r="H28" s="115">
        <f>+'5 VALORACIÓN DEL CONTROL'!T115</f>
        <v>0.6</v>
      </c>
      <c r="I28" s="86">
        <f>+'5 VALORACIÓN DEL CONTROL'!U115</f>
        <v>0</v>
      </c>
      <c r="J28" s="116" t="str">
        <f t="shared" si="3"/>
        <v>Media</v>
      </c>
      <c r="K28" s="116" t="str">
        <f t="shared" si="4"/>
        <v/>
      </c>
      <c r="L28" s="85" t="b">
        <f t="shared" si="5"/>
        <v>0</v>
      </c>
      <c r="M28" s="85" t="b">
        <f t="shared" si="0"/>
        <v>0</v>
      </c>
      <c r="N28" s="85" t="b">
        <f t="shared" si="1"/>
        <v>0</v>
      </c>
      <c r="O28" s="208"/>
      <c r="P28" s="85">
        <f t="shared" si="2"/>
        <v>0</v>
      </c>
      <c r="Q28" s="208"/>
      <c r="R28" s="208"/>
      <c r="S28" s="209"/>
      <c r="T28" s="209"/>
      <c r="U28" s="208"/>
      <c r="V28" s="208"/>
      <c r="W28" s="208"/>
      <c r="X28" s="208"/>
      <c r="Y28" s="208"/>
      <c r="Z28" s="208"/>
      <c r="AA28" s="87"/>
      <c r="AB28" s="87"/>
    </row>
    <row r="29" spans="1:50" ht="14.45" hidden="1" customHeight="1" x14ac:dyDescent="0.25">
      <c r="A29" s="84">
        <f>'2 CONTEXTO E IDENTIFICACIÓN'!A27</f>
        <v>0</v>
      </c>
      <c r="B29" s="85" t="str">
        <f>+'2 CONTEXTO E IDENTIFICACIÓN'!J24</f>
        <v xml:space="preserve"> por a causa de </v>
      </c>
      <c r="C29" s="121" t="str">
        <f>+'3 PROBABIL E IMPACTO INHERENTE'!E27</f>
        <v/>
      </c>
      <c r="D29" s="121" t="str">
        <f>+'3 PROBABIL E IMPACTO INHERENTE'!M27</f>
        <v/>
      </c>
      <c r="E29" s="116" t="str">
        <f>+'4 MAPA CALOR INHERENTE'!C27</f>
        <v/>
      </c>
      <c r="F29" s="116" t="str">
        <f>+'4 MAPA CALOR INHERENTE'!D27</f>
        <v/>
      </c>
      <c r="G29" s="85" t="str">
        <f>+'4 MAPA CALOR INHERENTE'!E27</f>
        <v/>
      </c>
      <c r="H29" s="115">
        <f>+'5 VALORACIÓN DEL CONTROL'!T121</f>
        <v>0.6</v>
      </c>
      <c r="I29" s="86">
        <f>+'5 VALORACIÓN DEL CONTROL'!U121</f>
        <v>0</v>
      </c>
      <c r="J29" s="116" t="str">
        <f t="shared" si="3"/>
        <v>Media</v>
      </c>
      <c r="K29" s="116" t="str">
        <f t="shared" si="4"/>
        <v/>
      </c>
      <c r="L29" s="85" t="b">
        <f t="shared" si="5"/>
        <v>0</v>
      </c>
      <c r="M29" s="85" t="b">
        <f t="shared" si="0"/>
        <v>0</v>
      </c>
      <c r="N29" s="85" t="b">
        <f t="shared" si="1"/>
        <v>0</v>
      </c>
      <c r="O29" s="208"/>
      <c r="P29" s="85">
        <f t="shared" si="2"/>
        <v>0</v>
      </c>
      <c r="Q29" s="208"/>
      <c r="R29" s="208"/>
      <c r="S29" s="209"/>
      <c r="T29" s="209"/>
      <c r="U29" s="208"/>
      <c r="V29" s="208"/>
      <c r="W29" s="208"/>
      <c r="X29" s="208"/>
      <c r="Y29" s="208"/>
      <c r="Z29" s="208"/>
      <c r="AA29" s="67"/>
      <c r="AB29" s="67"/>
      <c r="AM29" s="72"/>
      <c r="AN29" s="72"/>
      <c r="AO29" s="72"/>
      <c r="AP29" s="72"/>
      <c r="AQ29" s="72"/>
      <c r="AR29" s="67"/>
      <c r="AS29" s="67"/>
      <c r="AT29" s="67"/>
      <c r="AU29" s="67"/>
      <c r="AV29" s="67"/>
    </row>
    <row r="30" spans="1:50" ht="39" hidden="1" customHeight="1" x14ac:dyDescent="0.25">
      <c r="A30" s="84">
        <f>'2 CONTEXTO E IDENTIFICACIÓN'!A28</f>
        <v>0</v>
      </c>
      <c r="B30" s="85" t="str">
        <f>+'2 CONTEXTO E IDENTIFICACIÓN'!J25</f>
        <v xml:space="preserve"> por a causa de </v>
      </c>
      <c r="C30" s="121" t="str">
        <f>+'3 PROBABIL E IMPACTO INHERENTE'!E28</f>
        <v/>
      </c>
      <c r="D30" s="121" t="str">
        <f>+'3 PROBABIL E IMPACTO INHERENTE'!M28</f>
        <v/>
      </c>
      <c r="E30" s="116" t="str">
        <f>+'4 MAPA CALOR INHERENTE'!C28</f>
        <v/>
      </c>
      <c r="F30" s="116" t="str">
        <f>+'4 MAPA CALOR INHERENTE'!D28</f>
        <v/>
      </c>
      <c r="G30" s="85" t="str">
        <f>+'4 MAPA CALOR INHERENTE'!E28</f>
        <v/>
      </c>
      <c r="H30" s="115">
        <f>+'5 VALORACIÓN DEL CONTROL'!T127</f>
        <v>0.6</v>
      </c>
      <c r="I30" s="86">
        <f>+'5 VALORACIÓN DEL CONTROL'!U127</f>
        <v>0</v>
      </c>
      <c r="J30" s="116" t="str">
        <f t="shared" si="3"/>
        <v>Media</v>
      </c>
      <c r="K30" s="116" t="str">
        <f t="shared" si="4"/>
        <v/>
      </c>
      <c r="L30" s="85" t="b">
        <f t="shared" si="5"/>
        <v>0</v>
      </c>
      <c r="M30" s="85" t="b">
        <f t="shared" si="0"/>
        <v>0</v>
      </c>
      <c r="N30" s="85" t="b">
        <f t="shared" si="1"/>
        <v>0</v>
      </c>
      <c r="O30" s="208"/>
      <c r="P30" s="85">
        <f t="shared" si="2"/>
        <v>0</v>
      </c>
      <c r="Q30" s="208"/>
      <c r="R30" s="208"/>
      <c r="S30" s="209"/>
      <c r="T30" s="209"/>
      <c r="U30" s="208"/>
      <c r="V30" s="208"/>
      <c r="W30" s="208"/>
      <c r="X30" s="208"/>
      <c r="Y30" s="208"/>
      <c r="Z30" s="208"/>
      <c r="AA30" s="67"/>
      <c r="AB30" s="67"/>
      <c r="AM30" s="72"/>
      <c r="AN30" s="72"/>
      <c r="AO30" s="72"/>
      <c r="AP30" s="72"/>
      <c r="AQ30" s="72"/>
      <c r="AR30" s="67"/>
      <c r="AS30" s="67"/>
      <c r="AT30" s="67"/>
      <c r="AU30" s="67"/>
      <c r="AV30" s="67"/>
    </row>
    <row r="31" spans="1:50" ht="19.5" customHeight="1" x14ac:dyDescent="0.25">
      <c r="B31" s="67"/>
      <c r="C31" s="67"/>
      <c r="D31" s="67"/>
      <c r="G31" s="67"/>
      <c r="I31" s="67"/>
      <c r="L31" s="67"/>
      <c r="M31" s="67"/>
      <c r="N31" s="67"/>
      <c r="O31" s="67"/>
      <c r="P31" s="67"/>
      <c r="Q31" s="67"/>
      <c r="R31" s="67"/>
      <c r="S31" s="122"/>
      <c r="T31" s="122"/>
      <c r="U31" s="67"/>
      <c r="V31" s="67"/>
      <c r="W31" s="67"/>
      <c r="X31" s="67"/>
      <c r="Y31" s="67"/>
      <c r="Z31" s="67"/>
      <c r="AA31" s="67"/>
      <c r="AB31" s="67"/>
      <c r="AM31" s="72"/>
      <c r="AN31" s="72"/>
      <c r="AO31" s="72"/>
      <c r="AP31" s="72"/>
      <c r="AQ31" s="72"/>
      <c r="AR31" s="67"/>
      <c r="AS31" s="67"/>
      <c r="AT31" s="67"/>
      <c r="AU31" s="67"/>
      <c r="AV31" s="67"/>
    </row>
    <row r="32" spans="1:50" ht="19.5" customHeight="1" x14ac:dyDescent="0.25">
      <c r="B32" s="67"/>
      <c r="C32" s="67"/>
      <c r="D32" s="67"/>
      <c r="G32" s="67"/>
      <c r="I32" s="67"/>
      <c r="L32" s="67"/>
      <c r="M32" s="67"/>
      <c r="N32" s="67"/>
      <c r="O32" s="67"/>
      <c r="P32" s="67"/>
      <c r="Q32" s="67"/>
      <c r="R32" s="67"/>
      <c r="S32" s="122"/>
      <c r="T32" s="122"/>
      <c r="U32" s="67"/>
      <c r="V32" s="67"/>
      <c r="W32" s="67"/>
      <c r="X32" s="67"/>
      <c r="Y32" s="67"/>
      <c r="Z32" s="67"/>
      <c r="AA32" s="67"/>
      <c r="AB32" s="67"/>
      <c r="AM32" s="72"/>
      <c r="AN32" s="72"/>
      <c r="AO32" s="72"/>
      <c r="AP32" s="72"/>
      <c r="AQ32" s="72"/>
      <c r="AR32" s="67"/>
      <c r="AS32" s="67"/>
      <c r="AT32" s="67"/>
      <c r="AU32" s="67"/>
      <c r="AV32" s="67"/>
    </row>
    <row r="33" spans="2:43" s="67" customFormat="1" ht="19.5" customHeight="1" x14ac:dyDescent="0.25">
      <c r="E33" s="117"/>
      <c r="F33" s="117"/>
      <c r="H33" s="72"/>
      <c r="J33" s="117"/>
      <c r="K33" s="117"/>
      <c r="S33" s="122"/>
      <c r="T33" s="122"/>
      <c r="AM33" s="72"/>
      <c r="AN33" s="72"/>
      <c r="AO33" s="72"/>
      <c r="AP33" s="72"/>
      <c r="AQ33" s="72"/>
    </row>
    <row r="34" spans="2:43" s="67" customFormat="1" ht="19.5" customHeight="1" x14ac:dyDescent="0.25">
      <c r="E34" s="117"/>
      <c r="F34" s="117"/>
      <c r="H34" s="72"/>
      <c r="J34" s="117"/>
      <c r="K34" s="117"/>
      <c r="S34" s="122"/>
      <c r="T34" s="122"/>
      <c r="AM34" s="72"/>
      <c r="AN34" s="72"/>
      <c r="AO34" s="72"/>
      <c r="AP34" s="72"/>
      <c r="AQ34" s="72"/>
    </row>
    <row r="35" spans="2:43" s="67" customFormat="1" ht="19.5" customHeight="1" x14ac:dyDescent="0.25">
      <c r="E35" s="117"/>
      <c r="F35" s="117"/>
      <c r="H35" s="72"/>
      <c r="J35" s="117"/>
      <c r="K35" s="117"/>
      <c r="S35" s="122"/>
      <c r="T35" s="122"/>
      <c r="AM35" s="72"/>
      <c r="AN35" s="72"/>
      <c r="AO35" s="72"/>
      <c r="AP35" s="72"/>
      <c r="AQ35" s="72"/>
    </row>
    <row r="36" spans="2:43" x14ac:dyDescent="0.25">
      <c r="B36" s="67"/>
      <c r="C36" s="67"/>
      <c r="D36" s="67"/>
      <c r="G36" s="67"/>
      <c r="I36" s="67"/>
      <c r="L36" s="67"/>
      <c r="M36" s="67"/>
      <c r="N36" s="67"/>
      <c r="O36" s="67"/>
      <c r="P36" s="67"/>
      <c r="Q36" s="67"/>
      <c r="R36" s="67"/>
      <c r="S36" s="122"/>
      <c r="T36" s="122"/>
      <c r="U36" s="67"/>
      <c r="V36" s="67"/>
      <c r="W36" s="67"/>
      <c r="X36" s="67"/>
      <c r="Y36" s="67"/>
      <c r="Z36" s="67"/>
    </row>
    <row r="37" spans="2:43" x14ac:dyDescent="0.25">
      <c r="B37" s="67"/>
      <c r="C37" s="67"/>
      <c r="D37" s="67"/>
      <c r="G37" s="67"/>
      <c r="I37" s="67"/>
      <c r="L37" s="67"/>
      <c r="M37" s="67"/>
      <c r="N37" s="67"/>
      <c r="O37" s="67"/>
      <c r="P37" s="67"/>
      <c r="Q37" s="67"/>
      <c r="R37" s="67"/>
      <c r="S37" s="122"/>
      <c r="T37" s="122"/>
      <c r="U37" s="67"/>
      <c r="V37" s="67"/>
      <c r="W37" s="67"/>
      <c r="X37" s="67"/>
      <c r="Y37" s="67"/>
      <c r="Z37" s="67"/>
    </row>
  </sheetData>
  <sheetProtection formatCells="0" formatColumns="0" formatRows="0" sort="0" autoFilter="0" pivotTables="0"/>
  <dataConsolidate/>
  <mergeCells count="42">
    <mergeCell ref="AC9:AC13"/>
    <mergeCell ref="E7:G7"/>
    <mergeCell ref="AF5:AJ5"/>
    <mergeCell ref="A1:A2"/>
    <mergeCell ref="B1:B2"/>
    <mergeCell ref="J7:L7"/>
    <mergeCell ref="U7:W7"/>
    <mergeCell ref="Q7:T7"/>
    <mergeCell ref="B4:D4"/>
    <mergeCell ref="B5:D5"/>
    <mergeCell ref="A9:A10"/>
    <mergeCell ref="B9:B10"/>
    <mergeCell ref="C9:C10"/>
    <mergeCell ref="D9:D10"/>
    <mergeCell ref="E9:E10"/>
    <mergeCell ref="F9:F10"/>
    <mergeCell ref="G9:G10"/>
    <mergeCell ref="H9:H10"/>
    <mergeCell ref="I9:I10"/>
    <mergeCell ref="J9:J10"/>
    <mergeCell ref="K9:K10"/>
    <mergeCell ref="L9:L10"/>
    <mergeCell ref="M9:M10"/>
    <mergeCell ref="N9:N10"/>
    <mergeCell ref="O9:O10"/>
    <mergeCell ref="P9:P10"/>
    <mergeCell ref="A11:A12"/>
    <mergeCell ref="B11:B12"/>
    <mergeCell ref="C11:C12"/>
    <mergeCell ref="D11:D12"/>
    <mergeCell ref="E11:E12"/>
    <mergeCell ref="F11:F12"/>
    <mergeCell ref="G11:G12"/>
    <mergeCell ref="H11:H12"/>
    <mergeCell ref="I11:I12"/>
    <mergeCell ref="J11:J12"/>
    <mergeCell ref="P11:P12"/>
    <mergeCell ref="K11:K12"/>
    <mergeCell ref="L11:L12"/>
    <mergeCell ref="M11:M12"/>
    <mergeCell ref="N11:N12"/>
    <mergeCell ref="O11:O12"/>
  </mergeCells>
  <conditionalFormatting sqref="E9 I9:J9 E11 I11:J11 E13:E30 I13:J30">
    <cfRule type="cellIs" dxfId="17" priority="6" operator="equal">
      <formula>$AE$13</formula>
    </cfRule>
    <cfRule type="cellIs" dxfId="16" priority="7" operator="equal">
      <formula>$AE$12</formula>
    </cfRule>
    <cfRule type="cellIs" dxfId="15" priority="8" operator="equal">
      <formula>$AE$11</formula>
    </cfRule>
    <cfRule type="cellIs" dxfId="14" priority="9" operator="equal">
      <formula>$AE$10</formula>
    </cfRule>
    <cfRule type="cellIs" dxfId="13" priority="10" operator="equal">
      <formula>$AE$9</formula>
    </cfRule>
  </conditionalFormatting>
  <conditionalFormatting sqref="F9 K9 F11 K11 F13:F30 K13:K30">
    <cfRule type="cellIs" dxfId="12" priority="1" operator="equal">
      <formula>$AF$8</formula>
    </cfRule>
    <cfRule type="cellIs" dxfId="11" priority="2" operator="equal">
      <formula>$AG$8</formula>
    </cfRule>
    <cfRule type="cellIs" dxfId="10" priority="3" operator="equal">
      <formula>$AH$8</formula>
    </cfRule>
    <cfRule type="cellIs" dxfId="9" priority="4" operator="equal">
      <formula>$AI$8</formula>
    </cfRule>
    <cfRule type="cellIs" dxfId="8" priority="5" operator="equal">
      <formula>$AJ$8</formula>
    </cfRule>
  </conditionalFormatting>
  <conditionalFormatting sqref="G9 L9 G11 L11 G13:G30 L13:L30">
    <cfRule type="cellIs" dxfId="7" priority="11" operator="equal">
      <formula>$AF$16</formula>
    </cfRule>
    <cfRule type="cellIs" dxfId="6" priority="12" operator="equal">
      <formula>$AF$17</formula>
    </cfRule>
    <cfRule type="cellIs" dxfId="5" priority="13" operator="equal">
      <formula>$AF$18</formula>
    </cfRule>
    <cfRule type="cellIs" dxfId="4" priority="14"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 O11 O13:O30"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Z9:Z30</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5" zoomScaleNormal="85" workbookViewId="0">
      <selection activeCell="E15" sqref="E15"/>
    </sheetView>
  </sheetViews>
  <sheetFormatPr baseColWidth="10" defaultColWidth="0" defaultRowHeight="15" zeroHeight="1" x14ac:dyDescent="0.25"/>
  <cols>
    <col min="1" max="1" width="26.42578125" customWidth="1"/>
    <col min="2" max="2" width="29.42578125" customWidth="1"/>
    <col min="3" max="3" width="10.85546875" customWidth="1"/>
    <col min="4" max="4" width="27.42578125" customWidth="1"/>
    <col min="5" max="5" width="10.85546875" customWidth="1"/>
    <col min="6" max="6" width="14.42578125" customWidth="1"/>
    <col min="7" max="12" width="10.85546875" customWidth="1"/>
    <col min="13" max="16384" width="10.85546875" hidden="1"/>
  </cols>
  <sheetData>
    <row r="1" spans="1:11" s="3" customFormat="1" ht="37.5" customHeight="1" x14ac:dyDescent="0.2">
      <c r="A1" s="461"/>
      <c r="B1" s="500" t="str">
        <f>+'2 CONTEXTO E IDENTIFICACIÓN'!A1</f>
        <v>MAPA DE RIESGOS</v>
      </c>
      <c r="C1" s="472"/>
      <c r="D1" s="473"/>
      <c r="F1" s="216" t="str">
        <f>+'2 CONTEXTO E IDENTIFICACIÓN'!$I$4</f>
        <v>Elaboración o Actualización:</v>
      </c>
      <c r="G1" s="230" t="str">
        <f>'2 CONTEXTO E IDENTIFICACIÓN'!J4</f>
        <v>9 de diciembre de 2025</v>
      </c>
      <c r="H1" s="13"/>
      <c r="I1" s="13"/>
    </row>
    <row r="2" spans="1:11" s="3" customFormat="1" ht="37.5" customHeight="1" x14ac:dyDescent="0.2">
      <c r="A2" s="461"/>
      <c r="B2" s="501"/>
      <c r="C2" s="38" t="str">
        <f>+'2 CONTEXTO E IDENTIFICACIÓN'!A2</f>
        <v>VERSIÓN:</v>
      </c>
      <c r="D2" s="38">
        <f>'2 CONTEXTO E IDENTIFICACIÓN'!B2</f>
        <v>1</v>
      </c>
      <c r="F2" s="219" t="str">
        <f>+'2 CONTEXTO E IDENTIFICACIÓN'!$E$5</f>
        <v>Vigencia:  2026</v>
      </c>
      <c r="G2" s="217" t="str">
        <f>'2 CONTEXTO E IDENTIFICACIÓN'!G5</f>
        <v>1 de enero de 2026</v>
      </c>
      <c r="H2" s="218" t="s">
        <v>99</v>
      </c>
      <c r="I2" s="215" t="str">
        <f>'2 CONTEXTO E IDENTIFICACIÓN'!J5</f>
        <v>31 de diciembre de 2026</v>
      </c>
    </row>
    <row r="3" spans="1:11" s="3" customFormat="1" ht="8.25" customHeight="1" x14ac:dyDescent="0.2">
      <c r="A3" s="15"/>
      <c r="B3" s="15"/>
      <c r="C3" s="15"/>
      <c r="D3" s="40"/>
      <c r="F3" s="44"/>
    </row>
    <row r="4" spans="1:11" s="4" customFormat="1" ht="14.45" customHeight="1" x14ac:dyDescent="0.25">
      <c r="A4" s="20" t="s">
        <v>95</v>
      </c>
      <c r="B4" s="462" t="str">
        <f>'2 CONTEXTO E IDENTIFICACIÓN'!B4</f>
        <v>SUPERSOLIDARIA</v>
      </c>
      <c r="C4" s="462"/>
      <c r="D4" s="462"/>
      <c r="E4" s="124"/>
      <c r="F4" s="125"/>
    </row>
    <row r="5" spans="1:11" ht="15.75" thickBot="1" x14ac:dyDescent="0.3">
      <c r="A5" s="20" t="s">
        <v>96</v>
      </c>
      <c r="B5" s="462" t="str">
        <f>'2 CONTEXTO E IDENTIFICACIÓN'!F4</f>
        <v>GEGI</v>
      </c>
      <c r="C5" s="463"/>
      <c r="D5" s="463"/>
    </row>
    <row r="6" spans="1:11" ht="15.75" thickBot="1" x14ac:dyDescent="0.3">
      <c r="A6" s="561" t="s">
        <v>354</v>
      </c>
      <c r="B6" s="562"/>
      <c r="C6" s="562"/>
      <c r="D6" s="562"/>
      <c r="E6" s="562"/>
      <c r="F6" s="562"/>
      <c r="G6" s="562"/>
      <c r="H6" s="562"/>
      <c r="I6" s="562"/>
      <c r="J6" s="562"/>
      <c r="K6" s="563"/>
    </row>
    <row r="7" spans="1:11" ht="6" customHeight="1" thickBot="1" x14ac:dyDescent="0.3">
      <c r="A7" s="561"/>
      <c r="B7" s="562"/>
      <c r="C7" s="562"/>
      <c r="D7" s="562"/>
      <c r="E7" s="562"/>
      <c r="F7" s="562"/>
      <c r="G7" s="562"/>
      <c r="H7" s="562"/>
      <c r="I7" s="562"/>
      <c r="J7" s="562"/>
      <c r="K7" s="563"/>
    </row>
    <row r="8" spans="1:11" ht="34.5" customHeight="1" x14ac:dyDescent="0.25">
      <c r="A8" s="564" t="s">
        <v>355</v>
      </c>
      <c r="B8" s="565"/>
      <c r="C8" s="565"/>
      <c r="D8" s="565"/>
      <c r="E8" s="565"/>
      <c r="F8" s="565"/>
      <c r="G8" s="565"/>
      <c r="H8" s="565"/>
      <c r="I8" s="565"/>
      <c r="J8" s="565"/>
      <c r="K8" s="566"/>
    </row>
    <row r="9" spans="1:11" ht="18.75" customHeight="1" x14ac:dyDescent="0.25">
      <c r="A9" s="570" t="s">
        <v>356</v>
      </c>
      <c r="B9" s="571"/>
      <c r="C9" s="571"/>
      <c r="D9" s="571"/>
      <c r="E9" s="571"/>
      <c r="F9" s="571"/>
      <c r="G9" s="571"/>
      <c r="H9" s="571"/>
      <c r="I9" s="571"/>
      <c r="J9" s="571"/>
      <c r="K9" s="572"/>
    </row>
    <row r="10" spans="1:11" ht="34.5" customHeight="1" x14ac:dyDescent="0.25">
      <c r="A10" s="567" t="s">
        <v>357</v>
      </c>
      <c r="B10" s="568"/>
      <c r="C10" s="568"/>
      <c r="D10" s="568"/>
      <c r="E10" s="568"/>
      <c r="F10" s="568"/>
      <c r="G10" s="568"/>
      <c r="H10" s="568"/>
      <c r="I10" s="568"/>
      <c r="J10" s="568"/>
      <c r="K10" s="569"/>
    </row>
    <row r="11" spans="1:11" ht="50.25" customHeight="1" thickBot="1" x14ac:dyDescent="0.3">
      <c r="A11" s="576" t="s">
        <v>358</v>
      </c>
      <c r="B11" s="577"/>
      <c r="C11" s="577"/>
      <c r="D11" s="577"/>
      <c r="E11" s="577"/>
      <c r="F11" s="577"/>
      <c r="G11" s="577"/>
      <c r="H11" s="577"/>
      <c r="I11" s="577"/>
      <c r="J11" s="577"/>
      <c r="K11" s="578"/>
    </row>
    <row r="12" spans="1:11" x14ac:dyDescent="0.25">
      <c r="A12" s="126"/>
      <c r="B12" s="126"/>
      <c r="C12" s="126"/>
      <c r="D12" s="126"/>
      <c r="E12" s="126"/>
      <c r="F12" s="126"/>
      <c r="G12" s="126"/>
      <c r="H12" s="126"/>
      <c r="I12" s="126"/>
      <c r="J12" s="126"/>
      <c r="K12" s="126"/>
    </row>
    <row r="13" spans="1:11" s="128" customFormat="1" ht="38.25" x14ac:dyDescent="0.25">
      <c r="A13" s="127"/>
      <c r="B13" s="573" t="s">
        <v>359</v>
      </c>
      <c r="C13" s="574"/>
      <c r="D13" s="575" t="s">
        <v>360</v>
      </c>
      <c r="E13" s="575"/>
      <c r="G13" s="75" t="s">
        <v>308</v>
      </c>
    </row>
    <row r="14" spans="1:11" x14ac:dyDescent="0.25">
      <c r="A14" s="129" t="s">
        <v>361</v>
      </c>
      <c r="B14" s="130">
        <f>+COUNTIF('8 MAPA RIESGOS'!$G$9:$G$30,G14)</f>
        <v>1</v>
      </c>
      <c r="C14" s="131">
        <f>+B14/$B$18</f>
        <v>0.14285714285714285</v>
      </c>
      <c r="D14" s="130">
        <f>+COUNTIF('8 MAPA RIESGOS'!$L$9:$L$30,G14)</f>
        <v>1</v>
      </c>
      <c r="E14" s="131">
        <f>+D14/$D$18</f>
        <v>0.14285714285714285</v>
      </c>
      <c r="G14" s="105" t="s">
        <v>306</v>
      </c>
    </row>
    <row r="15" spans="1:11" x14ac:dyDescent="0.25">
      <c r="A15" s="129" t="s">
        <v>362</v>
      </c>
      <c r="B15" s="130">
        <f>+COUNTIF('8 MAPA RIESGOS'!$G$9:$G$30,G15)</f>
        <v>0</v>
      </c>
      <c r="C15" s="131">
        <f t="shared" ref="C15:C18" si="0">+B15/$B$18</f>
        <v>0</v>
      </c>
      <c r="D15" s="130">
        <f>+COUNTIF('8 MAPA RIESGOS'!$L$9:$L$30,G15)</f>
        <v>0</v>
      </c>
      <c r="E15" s="131">
        <f t="shared" ref="E15:E18" si="1">+D15/$D$18</f>
        <v>0</v>
      </c>
      <c r="G15" s="88" t="s">
        <v>305</v>
      </c>
    </row>
    <row r="16" spans="1:11" x14ac:dyDescent="0.25">
      <c r="A16" s="129" t="s">
        <v>363</v>
      </c>
      <c r="B16" s="130">
        <f>+COUNTIF('8 MAPA RIESGOS'!$G$9:$G$30,G16)</f>
        <v>3</v>
      </c>
      <c r="C16" s="131">
        <f t="shared" si="0"/>
        <v>0.42857142857142855</v>
      </c>
      <c r="D16" s="130">
        <f>+COUNTIF('8 MAPA RIESGOS'!$L$9:$L$30,G16)</f>
        <v>6</v>
      </c>
      <c r="E16" s="131">
        <f t="shared" si="1"/>
        <v>0.8571428571428571</v>
      </c>
      <c r="G16" s="92" t="s">
        <v>287</v>
      </c>
    </row>
    <row r="17" spans="1:7" x14ac:dyDescent="0.25">
      <c r="A17" s="129" t="s">
        <v>364</v>
      </c>
      <c r="B17" s="130">
        <f>+COUNTIF('8 MAPA RIESGOS'!$G$9:$G$30,G17)</f>
        <v>3</v>
      </c>
      <c r="C17" s="131">
        <f t="shared" si="0"/>
        <v>0.42857142857142855</v>
      </c>
      <c r="D17" s="130">
        <f>+COUNTIF('8 MAPA RIESGOS'!$L$9:$L$30,G17)</f>
        <v>0</v>
      </c>
      <c r="E17" s="131">
        <f t="shared" si="1"/>
        <v>0</v>
      </c>
      <c r="G17" s="96" t="s">
        <v>307</v>
      </c>
    </row>
    <row r="18" spans="1:7" x14ac:dyDescent="0.25">
      <c r="A18" s="129" t="s">
        <v>365</v>
      </c>
      <c r="B18" s="130">
        <f>+SUM(B14:B17)</f>
        <v>7</v>
      </c>
      <c r="C18" s="131">
        <f t="shared" si="0"/>
        <v>1</v>
      </c>
      <c r="D18" s="130">
        <f>+SUM(D14:D17)</f>
        <v>7</v>
      </c>
      <c r="E18" s="131">
        <f t="shared" si="1"/>
        <v>1</v>
      </c>
    </row>
    <row r="19" spans="1:7" x14ac:dyDescent="0.25"/>
    <row r="20" spans="1:7" s="132" customFormat="1" x14ac:dyDescent="0.25">
      <c r="B20" s="133" t="s">
        <v>359</v>
      </c>
      <c r="D20" s="133" t="s">
        <v>360</v>
      </c>
    </row>
    <row r="21" spans="1:7" s="132" customFormat="1" ht="41.45" customHeight="1" x14ac:dyDescent="0.25">
      <c r="B21" s="134" t="str">
        <f>+IF((B14/B18)&gt;=0.2,G14,+IF(((B14/B18)+(B15/B18))&gt;=0.3,G15,+IF(((B14/B18)+(B15/B18)+(B16/B18))&gt;=0.4,G16,+IF((B14/B18)+(B15/B18)+(B16/B18)+(B17/B18)&gt;=0.5,G17,""))))</f>
        <v>Moderado</v>
      </c>
      <c r="D21" s="134" t="str">
        <f>+IF((D14/D18)&gt;=0.2,G14,+IF(((D14/D18)+(D15/D18))&gt;=0.3,G15,+IF(((D14/D18)+(D15/D18)+(D16/D18))&gt;=0.4,G16,+IF((D14/D18)+(D15/D18)+(D16/D18)+(D17/D18)&gt;=0.5,G17,""))))</f>
        <v>Moderado</v>
      </c>
    </row>
    <row r="22" spans="1:7" x14ac:dyDescent="0.25"/>
    <row r="23" spans="1:7" x14ac:dyDescent="0.25"/>
  </sheetData>
  <sheetProtection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tabSelected="1" view="pageBreakPreview" zoomScaleNormal="100" zoomScaleSheetLayoutView="100" workbookViewId="0">
      <selection activeCell="B8" sqref="B8:D8"/>
    </sheetView>
  </sheetViews>
  <sheetFormatPr baseColWidth="10" defaultColWidth="11.42578125" defaultRowHeight="15" x14ac:dyDescent="0.25"/>
  <cols>
    <col min="1" max="1" width="17.42578125" style="289" customWidth="1"/>
    <col min="2" max="2" width="23.42578125" customWidth="1"/>
    <col min="3" max="3" width="12.42578125" customWidth="1"/>
    <col min="4" max="4" width="16.42578125" customWidth="1"/>
    <col min="257" max="257" width="17.42578125" customWidth="1"/>
    <col min="258" max="258" width="23.42578125" customWidth="1"/>
    <col min="260" max="260" width="12.42578125" customWidth="1"/>
    <col min="513" max="513" width="17.42578125" customWidth="1"/>
    <col min="514" max="514" width="23.42578125" customWidth="1"/>
    <col min="516" max="516" width="12.42578125" customWidth="1"/>
    <col min="769" max="769" width="17.42578125" customWidth="1"/>
    <col min="770" max="770" width="23.42578125" customWidth="1"/>
    <col min="772" max="772" width="12.42578125" customWidth="1"/>
    <col min="1025" max="1025" width="17.42578125" customWidth="1"/>
    <col min="1026" max="1026" width="23.42578125" customWidth="1"/>
    <col min="1028" max="1028" width="12.42578125" customWidth="1"/>
    <col min="1281" max="1281" width="17.42578125" customWidth="1"/>
    <col min="1282" max="1282" width="23.42578125" customWidth="1"/>
    <col min="1284" max="1284" width="12.42578125" customWidth="1"/>
    <col min="1537" max="1537" width="17.42578125" customWidth="1"/>
    <col min="1538" max="1538" width="23.42578125" customWidth="1"/>
    <col min="1540" max="1540" width="12.42578125" customWidth="1"/>
    <col min="1793" max="1793" width="17.42578125" customWidth="1"/>
    <col min="1794" max="1794" width="23.42578125" customWidth="1"/>
    <col min="1796" max="1796" width="12.42578125" customWidth="1"/>
    <col min="2049" max="2049" width="17.42578125" customWidth="1"/>
    <col min="2050" max="2050" width="23.42578125" customWidth="1"/>
    <col min="2052" max="2052" width="12.42578125" customWidth="1"/>
    <col min="2305" max="2305" width="17.42578125" customWidth="1"/>
    <col min="2306" max="2306" width="23.42578125" customWidth="1"/>
    <col min="2308" max="2308" width="12.42578125" customWidth="1"/>
    <col min="2561" max="2561" width="17.42578125" customWidth="1"/>
    <col min="2562" max="2562" width="23.42578125" customWidth="1"/>
    <col min="2564" max="2564" width="12.42578125" customWidth="1"/>
    <col min="2817" max="2817" width="17.42578125" customWidth="1"/>
    <col min="2818" max="2818" width="23.42578125" customWidth="1"/>
    <col min="2820" max="2820" width="12.42578125" customWidth="1"/>
    <col min="3073" max="3073" width="17.42578125" customWidth="1"/>
    <col min="3074" max="3074" width="23.42578125" customWidth="1"/>
    <col min="3076" max="3076" width="12.42578125" customWidth="1"/>
    <col min="3329" max="3329" width="17.42578125" customWidth="1"/>
    <col min="3330" max="3330" width="23.42578125" customWidth="1"/>
    <col min="3332" max="3332" width="12.42578125" customWidth="1"/>
    <col min="3585" max="3585" width="17.42578125" customWidth="1"/>
    <col min="3586" max="3586" width="23.42578125" customWidth="1"/>
    <col min="3588" max="3588" width="12.42578125" customWidth="1"/>
    <col min="3841" max="3841" width="17.42578125" customWidth="1"/>
    <col min="3842" max="3842" width="23.42578125" customWidth="1"/>
    <col min="3844" max="3844" width="12.42578125" customWidth="1"/>
    <col min="4097" max="4097" width="17.42578125" customWidth="1"/>
    <col min="4098" max="4098" width="23.42578125" customWidth="1"/>
    <col min="4100" max="4100" width="12.42578125" customWidth="1"/>
    <col min="4353" max="4353" width="17.42578125" customWidth="1"/>
    <col min="4354" max="4354" width="23.42578125" customWidth="1"/>
    <col min="4356" max="4356" width="12.42578125" customWidth="1"/>
    <col min="4609" max="4609" width="17.42578125" customWidth="1"/>
    <col min="4610" max="4610" width="23.42578125" customWidth="1"/>
    <col min="4612" max="4612" width="12.42578125" customWidth="1"/>
    <col min="4865" max="4865" width="17.42578125" customWidth="1"/>
    <col min="4866" max="4866" width="23.42578125" customWidth="1"/>
    <col min="4868" max="4868" width="12.42578125" customWidth="1"/>
    <col min="5121" max="5121" width="17.42578125" customWidth="1"/>
    <col min="5122" max="5122" width="23.42578125" customWidth="1"/>
    <col min="5124" max="5124" width="12.42578125" customWidth="1"/>
    <col min="5377" max="5377" width="17.42578125" customWidth="1"/>
    <col min="5378" max="5378" width="23.42578125" customWidth="1"/>
    <col min="5380" max="5380" width="12.42578125" customWidth="1"/>
    <col min="5633" max="5633" width="17.42578125" customWidth="1"/>
    <col min="5634" max="5634" width="23.42578125" customWidth="1"/>
    <col min="5636" max="5636" width="12.42578125" customWidth="1"/>
    <col min="5889" max="5889" width="17.42578125" customWidth="1"/>
    <col min="5890" max="5890" width="23.42578125" customWidth="1"/>
    <col min="5892" max="5892" width="12.42578125" customWidth="1"/>
    <col min="6145" max="6145" width="17.42578125" customWidth="1"/>
    <col min="6146" max="6146" width="23.42578125" customWidth="1"/>
    <col min="6148" max="6148" width="12.42578125" customWidth="1"/>
    <col min="6401" max="6401" width="17.42578125" customWidth="1"/>
    <col min="6402" max="6402" width="23.42578125" customWidth="1"/>
    <col min="6404" max="6404" width="12.42578125" customWidth="1"/>
    <col min="6657" max="6657" width="17.42578125" customWidth="1"/>
    <col min="6658" max="6658" width="23.42578125" customWidth="1"/>
    <col min="6660" max="6660" width="12.42578125" customWidth="1"/>
    <col min="6913" max="6913" width="17.42578125" customWidth="1"/>
    <col min="6914" max="6914" width="23.42578125" customWidth="1"/>
    <col min="6916" max="6916" width="12.42578125" customWidth="1"/>
    <col min="7169" max="7169" width="17.42578125" customWidth="1"/>
    <col min="7170" max="7170" width="23.42578125" customWidth="1"/>
    <col min="7172" max="7172" width="12.42578125" customWidth="1"/>
    <col min="7425" max="7425" width="17.42578125" customWidth="1"/>
    <col min="7426" max="7426" width="23.42578125" customWidth="1"/>
    <col min="7428" max="7428" width="12.42578125" customWidth="1"/>
    <col min="7681" max="7681" width="17.42578125" customWidth="1"/>
    <col min="7682" max="7682" width="23.42578125" customWidth="1"/>
    <col min="7684" max="7684" width="12.42578125" customWidth="1"/>
    <col min="7937" max="7937" width="17.42578125" customWidth="1"/>
    <col min="7938" max="7938" width="23.42578125" customWidth="1"/>
    <col min="7940" max="7940" width="12.42578125" customWidth="1"/>
    <col min="8193" max="8193" width="17.42578125" customWidth="1"/>
    <col min="8194" max="8194" width="23.42578125" customWidth="1"/>
    <col min="8196" max="8196" width="12.42578125" customWidth="1"/>
    <col min="8449" max="8449" width="17.42578125" customWidth="1"/>
    <col min="8450" max="8450" width="23.42578125" customWidth="1"/>
    <col min="8452" max="8452" width="12.42578125" customWidth="1"/>
    <col min="8705" max="8705" width="17.42578125" customWidth="1"/>
    <col min="8706" max="8706" width="23.42578125" customWidth="1"/>
    <col min="8708" max="8708" width="12.42578125" customWidth="1"/>
    <col min="8961" max="8961" width="17.42578125" customWidth="1"/>
    <col min="8962" max="8962" width="23.42578125" customWidth="1"/>
    <col min="8964" max="8964" width="12.42578125" customWidth="1"/>
    <col min="9217" max="9217" width="17.42578125" customWidth="1"/>
    <col min="9218" max="9218" width="23.42578125" customWidth="1"/>
    <col min="9220" max="9220" width="12.42578125" customWidth="1"/>
    <col min="9473" max="9473" width="17.42578125" customWidth="1"/>
    <col min="9474" max="9474" width="23.42578125" customWidth="1"/>
    <col min="9476" max="9476" width="12.42578125" customWidth="1"/>
    <col min="9729" max="9729" width="17.42578125" customWidth="1"/>
    <col min="9730" max="9730" width="23.42578125" customWidth="1"/>
    <col min="9732" max="9732" width="12.42578125" customWidth="1"/>
    <col min="9985" max="9985" width="17.42578125" customWidth="1"/>
    <col min="9986" max="9986" width="23.42578125" customWidth="1"/>
    <col min="9988" max="9988" width="12.42578125" customWidth="1"/>
    <col min="10241" max="10241" width="17.42578125" customWidth="1"/>
    <col min="10242" max="10242" width="23.42578125" customWidth="1"/>
    <col min="10244" max="10244" width="12.42578125" customWidth="1"/>
    <col min="10497" max="10497" width="17.42578125" customWidth="1"/>
    <col min="10498" max="10498" width="23.42578125" customWidth="1"/>
    <col min="10500" max="10500" width="12.42578125" customWidth="1"/>
    <col min="10753" max="10753" width="17.42578125" customWidth="1"/>
    <col min="10754" max="10754" width="23.42578125" customWidth="1"/>
    <col min="10756" max="10756" width="12.42578125" customWidth="1"/>
    <col min="11009" max="11009" width="17.42578125" customWidth="1"/>
    <col min="11010" max="11010" width="23.42578125" customWidth="1"/>
    <col min="11012" max="11012" width="12.42578125" customWidth="1"/>
    <col min="11265" max="11265" width="17.42578125" customWidth="1"/>
    <col min="11266" max="11266" width="23.42578125" customWidth="1"/>
    <col min="11268" max="11268" width="12.42578125" customWidth="1"/>
    <col min="11521" max="11521" width="17.42578125" customWidth="1"/>
    <col min="11522" max="11522" width="23.42578125" customWidth="1"/>
    <col min="11524" max="11524" width="12.42578125" customWidth="1"/>
    <col min="11777" max="11777" width="17.42578125" customWidth="1"/>
    <col min="11778" max="11778" width="23.42578125" customWidth="1"/>
    <col min="11780" max="11780" width="12.42578125" customWidth="1"/>
    <col min="12033" max="12033" width="17.42578125" customWidth="1"/>
    <col min="12034" max="12034" width="23.42578125" customWidth="1"/>
    <col min="12036" max="12036" width="12.42578125" customWidth="1"/>
    <col min="12289" max="12289" width="17.42578125" customWidth="1"/>
    <col min="12290" max="12290" width="23.42578125" customWidth="1"/>
    <col min="12292" max="12292" width="12.42578125" customWidth="1"/>
    <col min="12545" max="12545" width="17.42578125" customWidth="1"/>
    <col min="12546" max="12546" width="23.42578125" customWidth="1"/>
    <col min="12548" max="12548" width="12.42578125" customWidth="1"/>
    <col min="12801" max="12801" width="17.42578125" customWidth="1"/>
    <col min="12802" max="12802" width="23.42578125" customWidth="1"/>
    <col min="12804" max="12804" width="12.42578125" customWidth="1"/>
    <col min="13057" max="13057" width="17.42578125" customWidth="1"/>
    <col min="13058" max="13058" width="23.42578125" customWidth="1"/>
    <col min="13060" max="13060" width="12.42578125" customWidth="1"/>
    <col min="13313" max="13313" width="17.42578125" customWidth="1"/>
    <col min="13314" max="13314" width="23.42578125" customWidth="1"/>
    <col min="13316" max="13316" width="12.42578125" customWidth="1"/>
    <col min="13569" max="13569" width="17.42578125" customWidth="1"/>
    <col min="13570" max="13570" width="23.42578125" customWidth="1"/>
    <col min="13572" max="13572" width="12.42578125" customWidth="1"/>
    <col min="13825" max="13825" width="17.42578125" customWidth="1"/>
    <col min="13826" max="13826" width="23.42578125" customWidth="1"/>
    <col min="13828" max="13828" width="12.42578125" customWidth="1"/>
    <col min="14081" max="14081" width="17.42578125" customWidth="1"/>
    <col min="14082" max="14082" width="23.42578125" customWidth="1"/>
    <col min="14084" max="14084" width="12.42578125" customWidth="1"/>
    <col min="14337" max="14337" width="17.42578125" customWidth="1"/>
    <col min="14338" max="14338" width="23.42578125" customWidth="1"/>
    <col min="14340" max="14340" width="12.42578125" customWidth="1"/>
    <col min="14593" max="14593" width="17.42578125" customWidth="1"/>
    <col min="14594" max="14594" width="23.42578125" customWidth="1"/>
    <col min="14596" max="14596" width="12.42578125" customWidth="1"/>
    <col min="14849" max="14849" width="17.42578125" customWidth="1"/>
    <col min="14850" max="14850" width="23.42578125" customWidth="1"/>
    <col min="14852" max="14852" width="12.42578125" customWidth="1"/>
    <col min="15105" max="15105" width="17.42578125" customWidth="1"/>
    <col min="15106" max="15106" width="23.42578125" customWidth="1"/>
    <col min="15108" max="15108" width="12.42578125" customWidth="1"/>
    <col min="15361" max="15361" width="17.42578125" customWidth="1"/>
    <col min="15362" max="15362" width="23.42578125" customWidth="1"/>
    <col min="15364" max="15364" width="12.42578125" customWidth="1"/>
    <col min="15617" max="15617" width="17.42578125" customWidth="1"/>
    <col min="15618" max="15618" width="23.42578125" customWidth="1"/>
    <col min="15620" max="15620" width="12.42578125" customWidth="1"/>
    <col min="15873" max="15873" width="17.42578125" customWidth="1"/>
    <col min="15874" max="15874" width="23.42578125" customWidth="1"/>
    <col min="15876" max="15876" width="12.42578125" customWidth="1"/>
    <col min="16129" max="16129" width="17.42578125" customWidth="1"/>
    <col min="16130" max="16130" width="23.42578125" customWidth="1"/>
    <col min="16132" max="16132" width="12.42578125" customWidth="1"/>
  </cols>
  <sheetData>
    <row r="1" spans="1:4" ht="36.75" customHeight="1" x14ac:dyDescent="0.25">
      <c r="A1" s="579"/>
      <c r="B1" s="461" t="str">
        <f>+'2 CONTEXTO E IDENTIFICACIÓN'!A1</f>
        <v>MAPA DE RIESGOS</v>
      </c>
      <c r="C1" s="472"/>
      <c r="D1" s="473"/>
    </row>
    <row r="2" spans="1:4" ht="36.75" customHeight="1" x14ac:dyDescent="0.25">
      <c r="A2" s="579"/>
      <c r="B2" s="461"/>
      <c r="C2" s="38" t="str">
        <f>+'2 CONTEXTO E IDENTIFICACIÓN'!A2</f>
        <v>VERSIÓN:</v>
      </c>
      <c r="D2" s="145">
        <f>'2 CONTEXTO E IDENTIFICACIÓN'!B2</f>
        <v>1</v>
      </c>
    </row>
    <row r="3" spans="1:4" s="210" customFormat="1" x14ac:dyDescent="0.25">
      <c r="A3" s="285" t="s">
        <v>366</v>
      </c>
      <c r="B3" s="581" t="s">
        <v>367</v>
      </c>
      <c r="C3" s="581"/>
      <c r="D3" s="581"/>
    </row>
    <row r="4" spans="1:4" ht="88.5" customHeight="1" x14ac:dyDescent="0.25">
      <c r="A4" s="286">
        <v>46003</v>
      </c>
      <c r="B4" s="582" t="s">
        <v>401</v>
      </c>
      <c r="C4" s="582"/>
      <c r="D4" s="582"/>
    </row>
    <row r="5" spans="1:4" s="211" customFormat="1" ht="42" customHeight="1" x14ac:dyDescent="0.25">
      <c r="A5" s="286">
        <v>46265</v>
      </c>
      <c r="B5" s="582" t="s">
        <v>434</v>
      </c>
      <c r="C5" s="582"/>
      <c r="D5" s="582"/>
    </row>
    <row r="6" spans="1:4" x14ac:dyDescent="0.25">
      <c r="A6" s="287"/>
      <c r="B6" s="580"/>
      <c r="C6" s="580"/>
      <c r="D6" s="580"/>
    </row>
    <row r="7" spans="1:4" x14ac:dyDescent="0.25">
      <c r="A7" s="287"/>
      <c r="B7" s="580"/>
      <c r="C7" s="580"/>
      <c r="D7" s="580"/>
    </row>
    <row r="8" spans="1:4" x14ac:dyDescent="0.25">
      <c r="A8" s="287"/>
      <c r="B8" s="583"/>
      <c r="C8" s="583"/>
      <c r="D8" s="583"/>
    </row>
    <row r="9" spans="1:4" x14ac:dyDescent="0.25">
      <c r="A9" s="287"/>
      <c r="B9" s="580"/>
      <c r="C9" s="580"/>
      <c r="D9" s="580"/>
    </row>
    <row r="10" spans="1:4" x14ac:dyDescent="0.25">
      <c r="A10" s="288"/>
      <c r="B10" s="212"/>
      <c r="C10" s="212"/>
      <c r="D10" s="212"/>
    </row>
    <row r="11" spans="1:4" x14ac:dyDescent="0.25">
      <c r="A11" s="288"/>
      <c r="B11" s="212"/>
      <c r="C11" s="212"/>
      <c r="D11" s="212"/>
    </row>
    <row r="12" spans="1:4" x14ac:dyDescent="0.25">
      <c r="A12" s="288"/>
      <c r="B12" s="212"/>
      <c r="C12" s="212"/>
      <c r="D12" s="212"/>
    </row>
    <row r="13" spans="1:4" x14ac:dyDescent="0.25">
      <c r="A13" s="288"/>
      <c r="B13" s="212"/>
      <c r="C13" s="212"/>
      <c r="D13" s="212"/>
    </row>
    <row r="14" spans="1:4" x14ac:dyDescent="0.25">
      <c r="A14" s="288"/>
      <c r="B14" s="212"/>
      <c r="C14" s="212"/>
      <c r="D14" s="212"/>
    </row>
    <row r="15" spans="1:4" x14ac:dyDescent="0.25">
      <c r="A15" s="288"/>
      <c r="B15" s="212"/>
      <c r="C15" s="212"/>
      <c r="D15" s="212"/>
    </row>
    <row r="16" spans="1:4" x14ac:dyDescent="0.25">
      <c r="A16" s="288"/>
      <c r="B16" s="212"/>
      <c r="C16" s="212"/>
      <c r="D16" s="212"/>
    </row>
    <row r="17" spans="1:4" x14ac:dyDescent="0.25">
      <c r="A17" s="288"/>
      <c r="B17" s="212"/>
      <c r="C17" s="212"/>
      <c r="D17" s="212"/>
    </row>
    <row r="18" spans="1:4" x14ac:dyDescent="0.25">
      <c r="A18" s="288"/>
      <c r="B18" s="212"/>
      <c r="C18" s="212"/>
      <c r="D18" s="212"/>
    </row>
    <row r="19" spans="1:4" x14ac:dyDescent="0.25">
      <c r="A19" s="288"/>
      <c r="B19" s="212"/>
      <c r="C19" s="212"/>
      <c r="D19" s="212"/>
    </row>
    <row r="20" spans="1:4" x14ac:dyDescent="0.25">
      <c r="A20" s="288"/>
      <c r="B20" s="212"/>
      <c r="C20" s="212"/>
      <c r="D20" s="212"/>
    </row>
    <row r="21" spans="1:4" x14ac:dyDescent="0.25">
      <c r="A21" s="288"/>
      <c r="B21" s="212"/>
      <c r="C21" s="212"/>
      <c r="D21" s="212"/>
    </row>
    <row r="22" spans="1:4" x14ac:dyDescent="0.25">
      <c r="A22" s="288"/>
      <c r="B22" s="212"/>
      <c r="C22" s="212"/>
      <c r="D22" s="212"/>
    </row>
    <row r="23" spans="1:4" x14ac:dyDescent="0.25">
      <c r="A23" s="288"/>
      <c r="B23" s="212"/>
      <c r="C23" s="212"/>
      <c r="D23" s="212"/>
    </row>
  </sheetData>
  <sheetProtection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Props1.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11 FORMULAS</vt:lpstr>
      <vt:lpstr>2 CONTEXTO E IDENTIFICACIÓN</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Jesus Alberto Orozco Castiblanco</cp:lastModifiedBy>
  <cp:revision/>
  <dcterms:created xsi:type="dcterms:W3CDTF">2006-09-16T00:00:00Z</dcterms:created>
  <dcterms:modified xsi:type="dcterms:W3CDTF">2026-09-08T19:01:40Z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